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NadelyaevaYV\Desktop\Мои документы\ЗАКУПКИ\ЗАКУПКИ\Конкурс\2023\31 Ремонт ВЛ 0,4 кВ Эхирит-Булагатского, Жигаловского РЭС ПОВТОРНО\Документация\Дефектные ведомости\"/>
    </mc:Choice>
  </mc:AlternateContent>
  <bookViews>
    <workbookView xWindow="19980" yWindow="1395" windowWidth="16620" windowHeight="13545" tabRatio="848" activeTab="3"/>
  </bookViews>
  <sheets>
    <sheet name="Лист1" sheetId="93" r:id="rId1"/>
    <sheet name="Лист2" sheetId="94" r:id="rId2"/>
    <sheet name="Ф-1 561" sheetId="76" r:id="rId3"/>
    <sheet name="Ф-2 561" sheetId="92" r:id="rId4"/>
    <sheet name="Ф-1 583 " sheetId="54" state="hidden" r:id="rId5"/>
    <sheet name="Ф-2 596" sheetId="51" state="hidden" r:id="rId6"/>
    <sheet name="Ф-2 610" sheetId="55" state="hidden" r:id="rId7"/>
    <sheet name="Ф-2 612" sheetId="56" state="hidden" r:id="rId8"/>
    <sheet name="Матер" sheetId="15" state="hidden" r:id="rId9"/>
    <sheet name="Заявка" sheetId="25" state="hidden" r:id="rId10"/>
    <sheet name="Бюджет" sheetId="29" state="hidden" r:id="rId11"/>
  </sheets>
  <externalReferences>
    <externalReference r:id="rId12"/>
  </externalReferences>
  <definedNames>
    <definedName name="_xlnm._FilterDatabase" localSheetId="9" hidden="1">Заявка!$E$3:$R$60</definedName>
    <definedName name="_xlnm._FilterDatabase" localSheetId="0" hidden="1">Лист1!$A$1:$D$1</definedName>
    <definedName name="_xlnm._FilterDatabase" localSheetId="1" hidden="1">Лист2!$A$1:$K$1</definedName>
    <definedName name="материалы">Матер!$A$2:$A$220</definedName>
    <definedName name="_xlnm.Print_Area" localSheetId="9">Заявка!$A$1:$R$60</definedName>
    <definedName name="_xlnm.Print_Area" localSheetId="2">'Ф-1 561'!$A$1:$L$89</definedName>
    <definedName name="_xlnm.Print_Area" localSheetId="4">'Ф-1 583 '!$A$1:$AA$149</definedName>
    <definedName name="_xlnm.Print_Area" localSheetId="3">'Ф-2 561'!$A$1:$L$91</definedName>
    <definedName name="_xlnm.Print_Area" localSheetId="5">'Ф-2 596'!$A$1:$AE$148</definedName>
  </definedNames>
  <calcPr calcId="162913"/>
</workbook>
</file>

<file path=xl/calcChain.xml><?xml version="1.0" encoding="utf-8"?>
<calcChain xmlns="http://schemas.openxmlformats.org/spreadsheetml/2006/main">
  <c r="F48" i="93" l="1"/>
  <c r="F49" i="93"/>
  <c r="D5" i="94"/>
  <c r="D6" i="94"/>
  <c r="D7" i="94"/>
  <c r="D8" i="94"/>
  <c r="D9" i="94"/>
  <c r="D10" i="94"/>
  <c r="D11" i="94"/>
  <c r="D12" i="94"/>
  <c r="D13" i="94"/>
  <c r="D14" i="94"/>
  <c r="D15" i="94"/>
  <c r="D16" i="94"/>
  <c r="D17" i="94"/>
  <c r="D18" i="94"/>
  <c r="D19" i="94"/>
  <c r="D20" i="94"/>
  <c r="D21" i="94"/>
  <c r="D22" i="94"/>
  <c r="D23" i="94"/>
  <c r="D24" i="94"/>
  <c r="D25" i="94"/>
  <c r="D4" i="94"/>
  <c r="K46" i="92"/>
  <c r="K46" i="76"/>
  <c r="K30" i="92"/>
  <c r="K24" i="92"/>
  <c r="K30" i="76"/>
  <c r="K24" i="76"/>
  <c r="E53" i="93"/>
  <c r="C53" i="93"/>
  <c r="E38" i="93"/>
  <c r="E26" i="93"/>
  <c r="E27" i="93"/>
  <c r="E28" i="93"/>
  <c r="E29" i="93"/>
  <c r="E30" i="93"/>
  <c r="E31" i="93"/>
  <c r="E32" i="93"/>
  <c r="E34" i="93"/>
  <c r="E35" i="93"/>
  <c r="E36" i="93"/>
  <c r="E37" i="93"/>
  <c r="E39" i="93"/>
  <c r="E40" i="93"/>
  <c r="E41" i="93"/>
  <c r="E42" i="93"/>
  <c r="E43" i="93"/>
  <c r="E44" i="93"/>
  <c r="E45" i="93"/>
  <c r="E46" i="93"/>
  <c r="E48" i="93"/>
  <c r="E49" i="93"/>
  <c r="E51" i="93"/>
  <c r="E52" i="93"/>
  <c r="E54" i="93"/>
  <c r="E55" i="93"/>
  <c r="E56" i="93"/>
  <c r="E57" i="93"/>
  <c r="E58" i="93"/>
  <c r="E59" i="93"/>
  <c r="E60" i="93"/>
  <c r="E61" i="93"/>
  <c r="E62" i="93"/>
  <c r="E63" i="93"/>
  <c r="E64" i="93"/>
  <c r="E65" i="93"/>
  <c r="E67" i="93"/>
  <c r="E68" i="93"/>
  <c r="E18" i="93"/>
  <c r="E25" i="93"/>
  <c r="E14" i="93"/>
  <c r="E15" i="93"/>
  <c r="E16" i="93"/>
  <c r="E17" i="93"/>
  <c r="E19" i="93"/>
  <c r="E20" i="93"/>
  <c r="E21" i="93"/>
  <c r="E22" i="93"/>
  <c r="E23" i="93"/>
  <c r="E24" i="93"/>
  <c r="E13" i="93"/>
  <c r="C69" i="93"/>
  <c r="E69" i="93" s="1"/>
  <c r="C66" i="93"/>
  <c r="E66" i="93" s="1"/>
  <c r="C63" i="93"/>
  <c r="C58" i="93"/>
  <c r="C50" i="93"/>
  <c r="E50" i="93" s="1"/>
  <c r="C47" i="93"/>
  <c r="C44" i="93"/>
  <c r="C41" i="93"/>
  <c r="C38" i="93"/>
  <c r="C33" i="93"/>
  <c r="E33" i="93" s="1"/>
  <c r="C28" i="93"/>
  <c r="C25" i="93"/>
  <c r="C18" i="93"/>
  <c r="C13" i="93"/>
  <c r="C10" i="93"/>
  <c r="C7" i="93"/>
  <c r="C4" i="93"/>
  <c r="C25" i="94"/>
  <c r="C22" i="94"/>
  <c r="C19" i="94"/>
  <c r="C16" i="94"/>
  <c r="C13" i="94"/>
  <c r="C10" i="94"/>
  <c r="C7" i="94"/>
  <c r="C4" i="94"/>
  <c r="C26" i="94" s="1"/>
  <c r="C70" i="93" l="1"/>
  <c r="G15" i="92"/>
  <c r="G15" i="76"/>
  <c r="B65" i="76" l="1"/>
  <c r="B65" i="92"/>
  <c r="K23" i="92" l="1"/>
  <c r="K29" i="92"/>
  <c r="K33" i="92" s="1"/>
  <c r="G16" i="92"/>
  <c r="K45" i="92" s="1"/>
  <c r="K44" i="92"/>
  <c r="K29" i="76"/>
  <c r="K33" i="76" s="1"/>
  <c r="K23" i="76"/>
  <c r="K26" i="76" s="1"/>
  <c r="K45" i="76"/>
  <c r="K44" i="76"/>
  <c r="J44" i="76"/>
  <c r="G19" i="92" l="1"/>
  <c r="G19" i="76"/>
  <c r="U54" i="92" l="1"/>
  <c r="T54" i="92"/>
  <c r="S54" i="92"/>
  <c r="U53" i="92"/>
  <c r="T53" i="92"/>
  <c r="S53" i="92"/>
  <c r="U46" i="92"/>
  <c r="T46" i="92"/>
  <c r="S46" i="92"/>
  <c r="U45" i="92"/>
  <c r="T45" i="92"/>
  <c r="S45" i="92"/>
  <c r="U44" i="92"/>
  <c r="T44" i="92"/>
  <c r="S44" i="92"/>
  <c r="Q44" i="76"/>
  <c r="R44" i="76" s="1"/>
  <c r="S44" i="76"/>
  <c r="T44" i="76"/>
  <c r="U44" i="76"/>
  <c r="U54" i="76"/>
  <c r="T54" i="76"/>
  <c r="S54" i="76"/>
  <c r="U46" i="76"/>
  <c r="T46" i="76"/>
  <c r="S46" i="76"/>
  <c r="Q46" i="76"/>
  <c r="R46" i="76" s="1"/>
  <c r="U45" i="76"/>
  <c r="T45" i="76"/>
  <c r="S45" i="76"/>
  <c r="Q45" i="76"/>
  <c r="R45" i="76" s="1"/>
  <c r="R52" i="76" l="1"/>
  <c r="S52" i="76"/>
  <c r="T52" i="76"/>
  <c r="U52" i="76"/>
  <c r="S53" i="76"/>
  <c r="T53" i="76"/>
  <c r="U53" i="76"/>
  <c r="D21" i="92"/>
  <c r="D21" i="76"/>
  <c r="Q46" i="92" l="1"/>
  <c r="R46" i="92" s="1"/>
  <c r="Q45" i="92"/>
  <c r="R45" i="92" s="1"/>
  <c r="Q44" i="92" l="1"/>
  <c r="R44" i="92" s="1"/>
  <c r="AC105" i="92"/>
  <c r="AD105" i="92" s="1"/>
  <c r="Z105" i="92"/>
  <c r="AB105" i="92" s="1"/>
  <c r="AC104" i="92"/>
  <c r="AD104" i="92" s="1"/>
  <c r="Z104" i="92"/>
  <c r="AB104" i="92" s="1"/>
  <c r="AC103" i="92"/>
  <c r="AD103" i="92" s="1"/>
  <c r="Z103" i="92"/>
  <c r="AB103" i="92" s="1"/>
  <c r="AC102" i="92"/>
  <c r="AD102" i="92" s="1"/>
  <c r="Z102" i="92"/>
  <c r="AB102" i="92" s="1"/>
  <c r="AC101" i="92"/>
  <c r="AD101" i="92" s="1"/>
  <c r="Z101" i="92"/>
  <c r="AB101" i="92" s="1"/>
  <c r="AC100" i="92"/>
  <c r="AD100" i="92" s="1"/>
  <c r="Z100" i="92"/>
  <c r="AB100" i="92" s="1"/>
  <c r="AC99" i="92"/>
  <c r="AC106" i="92" s="1"/>
  <c r="AC107" i="92" s="1"/>
  <c r="Z99" i="92"/>
  <c r="AB99" i="92" s="1"/>
  <c r="AB106" i="92" s="1"/>
  <c r="Y98" i="92"/>
  <c r="B73" i="92"/>
  <c r="AA69" i="92"/>
  <c r="X69" i="92"/>
  <c r="U59" i="92"/>
  <c r="T59" i="92"/>
  <c r="S59" i="92"/>
  <c r="D58" i="92"/>
  <c r="K58" i="92" s="1"/>
  <c r="K59" i="92" s="1"/>
  <c r="Q59" i="92" s="1"/>
  <c r="R59" i="92" s="1"/>
  <c r="G57" i="92"/>
  <c r="U55" i="92"/>
  <c r="T55" i="92"/>
  <c r="S55" i="92"/>
  <c r="D52" i="92"/>
  <c r="G51" i="92"/>
  <c r="U50" i="92"/>
  <c r="T50" i="92"/>
  <c r="S50" i="92"/>
  <c r="D49" i="92"/>
  <c r="K49" i="92" s="1"/>
  <c r="G48" i="92"/>
  <c r="U42" i="92"/>
  <c r="S42" i="92"/>
  <c r="R42" i="92"/>
  <c r="K42" i="92"/>
  <c r="Q42" i="92" s="1"/>
  <c r="T42" i="92" s="1"/>
  <c r="U41" i="92"/>
  <c r="T41" i="92"/>
  <c r="S41" i="92"/>
  <c r="K41" i="92"/>
  <c r="Q41" i="92" s="1"/>
  <c r="R41" i="92" s="1"/>
  <c r="U40" i="92"/>
  <c r="T40" i="92"/>
  <c r="S40" i="92"/>
  <c r="K40" i="92"/>
  <c r="Q40" i="92" s="1"/>
  <c r="R40" i="92" s="1"/>
  <c r="U39" i="92"/>
  <c r="T39" i="92"/>
  <c r="S39" i="92"/>
  <c r="O39" i="92"/>
  <c r="K39" i="92"/>
  <c r="U38" i="92"/>
  <c r="T38" i="92"/>
  <c r="S38" i="92"/>
  <c r="K38" i="92"/>
  <c r="Q38" i="92" s="1"/>
  <c r="R38" i="92" s="1"/>
  <c r="U37" i="92"/>
  <c r="T37" i="92"/>
  <c r="S37" i="92"/>
  <c r="K37" i="92"/>
  <c r="Q37" i="92" s="1"/>
  <c r="R37" i="92" s="1"/>
  <c r="U36" i="92"/>
  <c r="T36" i="92"/>
  <c r="S36" i="92"/>
  <c r="K36" i="92"/>
  <c r="Q36" i="92" s="1"/>
  <c r="R36" i="92" s="1"/>
  <c r="U35" i="92"/>
  <c r="T35" i="92"/>
  <c r="S35" i="92"/>
  <c r="K35" i="92"/>
  <c r="Q35" i="92" s="1"/>
  <c r="R35" i="92" s="1"/>
  <c r="U34" i="92"/>
  <c r="S34" i="92"/>
  <c r="R34" i="92"/>
  <c r="K34" i="92"/>
  <c r="Q34" i="92" s="1"/>
  <c r="T34" i="92" s="1"/>
  <c r="U32" i="92"/>
  <c r="T32" i="92"/>
  <c r="S32" i="92"/>
  <c r="K32" i="92"/>
  <c r="Q32" i="92" s="1"/>
  <c r="R32" i="92" s="1"/>
  <c r="U31" i="92"/>
  <c r="T31" i="92"/>
  <c r="S31" i="92"/>
  <c r="K31" i="92"/>
  <c r="Q31" i="92" s="1"/>
  <c r="R31" i="92" s="1"/>
  <c r="U30" i="92"/>
  <c r="T30" i="92"/>
  <c r="S30" i="92"/>
  <c r="Q30" i="92"/>
  <c r="R30" i="92" s="1"/>
  <c r="U29" i="92"/>
  <c r="T29" i="92"/>
  <c r="S29" i="92"/>
  <c r="Q29" i="92"/>
  <c r="R29" i="92" s="1"/>
  <c r="U28" i="92"/>
  <c r="T28" i="92"/>
  <c r="S28" i="92"/>
  <c r="K28" i="92"/>
  <c r="Q28" i="92" s="1"/>
  <c r="R28" i="92" s="1"/>
  <c r="U27" i="92"/>
  <c r="T27" i="92"/>
  <c r="S27" i="92"/>
  <c r="K27" i="92"/>
  <c r="Q27" i="92" s="1"/>
  <c r="R27" i="92" s="1"/>
  <c r="U25" i="92"/>
  <c r="T25" i="92"/>
  <c r="S25" i="92"/>
  <c r="K25" i="92"/>
  <c r="Q25" i="92" s="1"/>
  <c r="R25" i="92" s="1"/>
  <c r="U24" i="92"/>
  <c r="T24" i="92"/>
  <c r="S24" i="92"/>
  <c r="Q24" i="92"/>
  <c r="R24" i="92" s="1"/>
  <c r="V23" i="92"/>
  <c r="U23" i="92"/>
  <c r="T23" i="92"/>
  <c r="S23" i="92"/>
  <c r="Q23" i="92"/>
  <c r="R23" i="92" s="1"/>
  <c r="U22" i="92"/>
  <c r="T22" i="92"/>
  <c r="S22" i="92"/>
  <c r="K22" i="92"/>
  <c r="U21" i="92"/>
  <c r="S21" i="92"/>
  <c r="R21" i="92"/>
  <c r="J21" i="92"/>
  <c r="K21" i="92"/>
  <c r="Q21" i="92" s="1"/>
  <c r="V20" i="92"/>
  <c r="P20" i="92"/>
  <c r="P19" i="92"/>
  <c r="P18" i="92"/>
  <c r="V17" i="92"/>
  <c r="G17" i="92"/>
  <c r="P17" i="92" s="1"/>
  <c r="V15" i="92"/>
  <c r="V13" i="92"/>
  <c r="K22" i="76"/>
  <c r="Q22" i="92" l="1"/>
  <c r="R22" i="92" s="1"/>
  <c r="R76" i="92" s="1"/>
  <c r="K26" i="92"/>
  <c r="Q39" i="92"/>
  <c r="R39" i="92" s="1"/>
  <c r="K50" i="92"/>
  <c r="Q50" i="92" s="1"/>
  <c r="R50" i="92" s="1"/>
  <c r="K55" i="92"/>
  <c r="Q55" i="92" s="1"/>
  <c r="R55" i="92" s="1"/>
  <c r="Q53" i="92"/>
  <c r="R53" i="92" s="1"/>
  <c r="Q54" i="92"/>
  <c r="R54" i="92" s="1"/>
  <c r="AD99" i="92"/>
  <c r="U60" i="92"/>
  <c r="U74" i="92" s="1"/>
  <c r="U77" i="92" s="1"/>
  <c r="S60" i="92"/>
  <c r="S74" i="92" s="1"/>
  <c r="S77" i="92" s="1"/>
  <c r="P74" i="92"/>
  <c r="F79" i="92" s="1"/>
  <c r="P76" i="92"/>
  <c r="D71" i="92" s="1"/>
  <c r="T21" i="92"/>
  <c r="T60" i="92" s="1"/>
  <c r="T74" i="92" s="1"/>
  <c r="T77" i="92" s="1"/>
  <c r="K52" i="92"/>
  <c r="R60" i="92" l="1"/>
  <c r="R74" i="92" s="1"/>
  <c r="Q60" i="92"/>
  <c r="R75" i="92"/>
  <c r="F76" i="92"/>
  <c r="P77" i="92"/>
  <c r="D72" i="92" s="1"/>
  <c r="D73" i="92" s="1"/>
  <c r="D62" i="92" l="1"/>
  <c r="D68" i="92" s="1"/>
  <c r="R77" i="92"/>
  <c r="D63" i="92" s="1"/>
  <c r="D69" i="92" l="1"/>
  <c r="D65" i="92"/>
  <c r="R79" i="92"/>
  <c r="V23" i="76" l="1"/>
  <c r="V20" i="76"/>
  <c r="K21" i="76" l="1"/>
  <c r="Q21" i="76" s="1"/>
  <c r="K38" i="76"/>
  <c r="Q38" i="76" s="1"/>
  <c r="R38" i="76" s="1"/>
  <c r="K37" i="76"/>
  <c r="Q37" i="76" s="1"/>
  <c r="R37" i="76" s="1"/>
  <c r="K35" i="76"/>
  <c r="Q35" i="76" s="1"/>
  <c r="R35" i="76" s="1"/>
  <c r="U42" i="76"/>
  <c r="S42" i="76"/>
  <c r="R42" i="76"/>
  <c r="K42" i="76"/>
  <c r="Q42" i="76" s="1"/>
  <c r="T42" i="76" s="1"/>
  <c r="U41" i="76"/>
  <c r="T41" i="76"/>
  <c r="S41" i="76"/>
  <c r="K41" i="76"/>
  <c r="Q41" i="76" s="1"/>
  <c r="R41" i="76" s="1"/>
  <c r="U40" i="76"/>
  <c r="T40" i="76"/>
  <c r="S40" i="76"/>
  <c r="K40" i="76"/>
  <c r="Q40" i="76" s="1"/>
  <c r="R40" i="76" s="1"/>
  <c r="U39" i="76"/>
  <c r="T39" i="76"/>
  <c r="S39" i="76"/>
  <c r="O39" i="76"/>
  <c r="K39" i="76"/>
  <c r="U38" i="76"/>
  <c r="T38" i="76"/>
  <c r="S38" i="76"/>
  <c r="U37" i="76"/>
  <c r="T37" i="76"/>
  <c r="S37" i="76"/>
  <c r="U36" i="76"/>
  <c r="T36" i="76"/>
  <c r="S36" i="76"/>
  <c r="K36" i="76"/>
  <c r="Q36" i="76" s="1"/>
  <c r="R36" i="76" s="1"/>
  <c r="U35" i="76"/>
  <c r="T35" i="76"/>
  <c r="S35" i="76"/>
  <c r="V17" i="76"/>
  <c r="AC103" i="76"/>
  <c r="AD103" i="76" s="1"/>
  <c r="Z103" i="76"/>
  <c r="AB103" i="76" s="1"/>
  <c r="AC102" i="76"/>
  <c r="AD102" i="76" s="1"/>
  <c r="Z102" i="76"/>
  <c r="AB102" i="76" s="1"/>
  <c r="AC101" i="76"/>
  <c r="AD101" i="76" s="1"/>
  <c r="Z101" i="76"/>
  <c r="AB101" i="76" s="1"/>
  <c r="AC100" i="76"/>
  <c r="AD100" i="76" s="1"/>
  <c r="Z100" i="76"/>
  <c r="AB100" i="76" s="1"/>
  <c r="AC99" i="76"/>
  <c r="AD99" i="76" s="1"/>
  <c r="Z99" i="76"/>
  <c r="AB99" i="76" s="1"/>
  <c r="AC98" i="76"/>
  <c r="AD98" i="76" s="1"/>
  <c r="Z98" i="76"/>
  <c r="AB98" i="76" s="1"/>
  <c r="AC97" i="76"/>
  <c r="AD97" i="76" s="1"/>
  <c r="Z97" i="76"/>
  <c r="AB97" i="76" s="1"/>
  <c r="AB104" i="76" s="1"/>
  <c r="Y96" i="76"/>
  <c r="B73" i="76"/>
  <c r="AA69" i="76"/>
  <c r="X69" i="76"/>
  <c r="U59" i="76"/>
  <c r="T59" i="76"/>
  <c r="S59" i="76"/>
  <c r="U55" i="76"/>
  <c r="T55" i="76"/>
  <c r="S55" i="76"/>
  <c r="D52" i="76"/>
  <c r="G51" i="76"/>
  <c r="U50" i="76"/>
  <c r="T50" i="76"/>
  <c r="S50" i="76"/>
  <c r="D49" i="76"/>
  <c r="K50" i="76" s="1"/>
  <c r="Q50" i="76" s="1"/>
  <c r="R50" i="76" s="1"/>
  <c r="G48" i="76"/>
  <c r="U34" i="76"/>
  <c r="S34" i="76"/>
  <c r="R34" i="76"/>
  <c r="K34" i="76"/>
  <c r="Q34" i="76" s="1"/>
  <c r="T34" i="76" s="1"/>
  <c r="U32" i="76"/>
  <c r="T32" i="76"/>
  <c r="S32" i="76"/>
  <c r="K32" i="76"/>
  <c r="Q32" i="76" s="1"/>
  <c r="R32" i="76" s="1"/>
  <c r="U31" i="76"/>
  <c r="T31" i="76"/>
  <c r="S31" i="76"/>
  <c r="K31" i="76"/>
  <c r="Q31" i="76" s="1"/>
  <c r="R31" i="76" s="1"/>
  <c r="U30" i="76"/>
  <c r="T30" i="76"/>
  <c r="S30" i="76"/>
  <c r="Q30" i="76"/>
  <c r="R30" i="76" s="1"/>
  <c r="U29" i="76"/>
  <c r="T29" i="76"/>
  <c r="S29" i="76"/>
  <c r="Q29" i="76"/>
  <c r="R29" i="76" s="1"/>
  <c r="U28" i="76"/>
  <c r="T28" i="76"/>
  <c r="S28" i="76"/>
  <c r="K28" i="76"/>
  <c r="Q28" i="76" s="1"/>
  <c r="R28" i="76" s="1"/>
  <c r="U27" i="76"/>
  <c r="T27" i="76"/>
  <c r="S27" i="76"/>
  <c r="K27" i="76"/>
  <c r="Q27" i="76" s="1"/>
  <c r="R27" i="76" s="1"/>
  <c r="U25" i="76"/>
  <c r="T25" i="76"/>
  <c r="S25" i="76"/>
  <c r="K25" i="76"/>
  <c r="Q25" i="76" s="1"/>
  <c r="R25" i="76" s="1"/>
  <c r="U24" i="76"/>
  <c r="T24" i="76"/>
  <c r="S24" i="76"/>
  <c r="Q24" i="76"/>
  <c r="R24" i="76" s="1"/>
  <c r="U23" i="76"/>
  <c r="T23" i="76"/>
  <c r="S23" i="76"/>
  <c r="Q23" i="76"/>
  <c r="R23" i="76" s="1"/>
  <c r="U22" i="76"/>
  <c r="T22" i="76"/>
  <c r="S22" i="76"/>
  <c r="Q22" i="76"/>
  <c r="R22" i="76" s="1"/>
  <c r="U21" i="76"/>
  <c r="S21" i="76"/>
  <c r="R21" i="76"/>
  <c r="J21" i="76"/>
  <c r="P20" i="76"/>
  <c r="P19" i="76"/>
  <c r="P18" i="76"/>
  <c r="G17" i="76"/>
  <c r="P17" i="76" s="1"/>
  <c r="V15" i="76"/>
  <c r="V13" i="76"/>
  <c r="R76" i="76" l="1"/>
  <c r="Q54" i="76"/>
  <c r="R54" i="76" s="1"/>
  <c r="Q53" i="76"/>
  <c r="R53" i="76" s="1"/>
  <c r="Q39" i="76"/>
  <c r="R39" i="76" s="1"/>
  <c r="AC104" i="76"/>
  <c r="AC105" i="76" s="1"/>
  <c r="K49" i="76"/>
  <c r="S60" i="76"/>
  <c r="S74" i="76" s="1"/>
  <c r="S77" i="76" s="1"/>
  <c r="T21" i="76"/>
  <c r="T60" i="76" s="1"/>
  <c r="T74" i="76" s="1"/>
  <c r="T77" i="76" s="1"/>
  <c r="U60" i="76"/>
  <c r="U74" i="76" s="1"/>
  <c r="U77" i="76" s="1"/>
  <c r="K55" i="76"/>
  <c r="Q55" i="76" s="1"/>
  <c r="R55" i="76" s="1"/>
  <c r="K52" i="76"/>
  <c r="Q52" i="76" s="1"/>
  <c r="P74" i="76"/>
  <c r="P76" i="76"/>
  <c r="D71" i="76" s="1"/>
  <c r="D58" i="76"/>
  <c r="K58" i="76" s="1"/>
  <c r="K59" i="76" s="1"/>
  <c r="Q59" i="76" s="1"/>
  <c r="R59" i="76" s="1"/>
  <c r="G57" i="76"/>
  <c r="R60" i="76" l="1"/>
  <c r="R74" i="76" s="1"/>
  <c r="F76" i="76"/>
  <c r="R75" i="76"/>
  <c r="D62" i="76" s="1"/>
  <c r="D68" i="76" s="1"/>
  <c r="Q60" i="76"/>
  <c r="F79" i="76"/>
  <c r="P77" i="76"/>
  <c r="D72" i="76" s="1"/>
  <c r="D73" i="76" s="1"/>
  <c r="R77" i="76" l="1"/>
  <c r="D63" i="76" s="1"/>
  <c r="D69" i="76" l="1"/>
  <c r="D65" i="76"/>
  <c r="R79" i="76"/>
  <c r="B110" i="54" l="1"/>
  <c r="B110" i="51"/>
  <c r="B110" i="55"/>
  <c r="B110" i="56" l="1"/>
  <c r="B117" i="54" l="1"/>
  <c r="B117" i="51"/>
  <c r="B117" i="55"/>
  <c r="B117" i="56"/>
  <c r="B109" i="56"/>
  <c r="B109" i="55"/>
  <c r="B109" i="51"/>
  <c r="B109" i="54"/>
  <c r="G13" i="55" l="1"/>
  <c r="P13" i="55" s="1"/>
  <c r="G14" i="55"/>
  <c r="P14" i="55" s="1"/>
  <c r="G15" i="55"/>
  <c r="P15" i="55" s="1"/>
  <c r="G16" i="55"/>
  <c r="P16" i="55" s="1"/>
  <c r="G17" i="55"/>
  <c r="P17" i="55" s="1"/>
  <c r="G18" i="55"/>
  <c r="P18" i="55" s="1"/>
  <c r="G19" i="55"/>
  <c r="P19" i="55" s="1"/>
  <c r="G20" i="55"/>
  <c r="P20" i="55" s="1"/>
  <c r="G21" i="55"/>
  <c r="P21" i="55"/>
  <c r="G22" i="55"/>
  <c r="P22" i="55" s="1"/>
  <c r="G23" i="55"/>
  <c r="O23" i="55"/>
  <c r="D24" i="55"/>
  <c r="G24" i="55" s="1"/>
  <c r="P24" i="55" s="1"/>
  <c r="G25" i="55"/>
  <c r="O25" i="55"/>
  <c r="D26" i="55"/>
  <c r="AA26" i="55" s="1"/>
  <c r="G27" i="55"/>
  <c r="P27" i="55" s="1"/>
  <c r="AA27" i="55"/>
  <c r="D28" i="55"/>
  <c r="AA28" i="55" s="1"/>
  <c r="S28" i="55"/>
  <c r="T28" i="55"/>
  <c r="U28" i="55"/>
  <c r="W28" i="55"/>
  <c r="J29" i="55"/>
  <c r="K29" i="55"/>
  <c r="Q29" i="55"/>
  <c r="R29" i="55" s="1"/>
  <c r="S29" i="55"/>
  <c r="T29" i="55"/>
  <c r="U29" i="55"/>
  <c r="W29" i="55"/>
  <c r="X29" i="55"/>
  <c r="X104" i="55" s="1"/>
  <c r="AA29" i="55"/>
  <c r="D30" i="55"/>
  <c r="J30" i="55"/>
  <c r="S30" i="55"/>
  <c r="T30" i="55"/>
  <c r="U30" i="55"/>
  <c r="W30" i="55"/>
  <c r="S31" i="55"/>
  <c r="T31" i="55"/>
  <c r="U31" i="55"/>
  <c r="W31" i="55"/>
  <c r="AA31" i="55"/>
  <c r="J32" i="55"/>
  <c r="S32" i="55"/>
  <c r="T32" i="55"/>
  <c r="U32" i="55"/>
  <c r="W32" i="55"/>
  <c r="AA32" i="55"/>
  <c r="S33" i="55"/>
  <c r="T33" i="55"/>
  <c r="U33" i="55"/>
  <c r="W33" i="55"/>
  <c r="S34" i="55"/>
  <c r="T34" i="55"/>
  <c r="U34" i="55"/>
  <c r="AA34" i="55"/>
  <c r="J35" i="55"/>
  <c r="S35" i="55"/>
  <c r="T35" i="55"/>
  <c r="U35" i="55"/>
  <c r="W35" i="55"/>
  <c r="AA35" i="55"/>
  <c r="J36" i="55"/>
  <c r="S36" i="55"/>
  <c r="T36" i="55"/>
  <c r="U36" i="55"/>
  <c r="AA36" i="55"/>
  <c r="J37" i="55"/>
  <c r="R37" i="55"/>
  <c r="S37" i="55"/>
  <c r="U37" i="55"/>
  <c r="W37" i="55"/>
  <c r="X37" i="55"/>
  <c r="K38" i="55"/>
  <c r="Q38" i="55" s="1"/>
  <c r="T38" i="55" s="1"/>
  <c r="R38" i="55"/>
  <c r="S38" i="55"/>
  <c r="U38" i="55"/>
  <c r="S39" i="55"/>
  <c r="T39" i="55"/>
  <c r="U39" i="55"/>
  <c r="S40" i="55"/>
  <c r="T40" i="55"/>
  <c r="U40" i="55"/>
  <c r="J41" i="55"/>
  <c r="S41" i="55"/>
  <c r="T41" i="55"/>
  <c r="U41" i="55"/>
  <c r="J42" i="55"/>
  <c r="K42" i="55"/>
  <c r="Q42" i="55" s="1"/>
  <c r="R42" i="55" s="1"/>
  <c r="S42" i="55"/>
  <c r="T42" i="55"/>
  <c r="U42" i="55"/>
  <c r="D43" i="55"/>
  <c r="AA43" i="55" s="1"/>
  <c r="J43" i="55"/>
  <c r="S43" i="55"/>
  <c r="T43" i="55"/>
  <c r="U43" i="55"/>
  <c r="W43" i="55"/>
  <c r="J44" i="55"/>
  <c r="S44" i="55"/>
  <c r="T44" i="55"/>
  <c r="U44" i="55"/>
  <c r="W44" i="55"/>
  <c r="AA44" i="55"/>
  <c r="S45" i="55"/>
  <c r="T45" i="55"/>
  <c r="U45" i="55"/>
  <c r="W45" i="55"/>
  <c r="J46" i="55"/>
  <c r="S46" i="55"/>
  <c r="T46" i="55"/>
  <c r="U46" i="55"/>
  <c r="W46" i="55"/>
  <c r="AA46" i="55"/>
  <c r="J47" i="55"/>
  <c r="S47" i="55"/>
  <c r="T47" i="55"/>
  <c r="U47" i="55"/>
  <c r="W47" i="55"/>
  <c r="AA47" i="55"/>
  <c r="R48" i="55"/>
  <c r="S48" i="55"/>
  <c r="U48" i="55"/>
  <c r="W48" i="55"/>
  <c r="AA48" i="55"/>
  <c r="S49" i="55"/>
  <c r="T49" i="55"/>
  <c r="U49" i="55"/>
  <c r="S50" i="55"/>
  <c r="T50" i="55"/>
  <c r="U50" i="55"/>
  <c r="J51" i="55"/>
  <c r="S51" i="55"/>
  <c r="T51" i="55"/>
  <c r="U51" i="55"/>
  <c r="J52" i="55"/>
  <c r="S52" i="55"/>
  <c r="T52" i="55"/>
  <c r="U52" i="55"/>
  <c r="J53" i="55"/>
  <c r="R53" i="55"/>
  <c r="S53" i="55"/>
  <c r="U53" i="55"/>
  <c r="J54" i="55"/>
  <c r="K54" i="55"/>
  <c r="Q54" i="55" s="1"/>
  <c r="R54" i="55"/>
  <c r="S54" i="55"/>
  <c r="T54" i="55"/>
  <c r="U54" i="55"/>
  <c r="W54" i="55"/>
  <c r="AA54" i="55"/>
  <c r="J55" i="55"/>
  <c r="K55" i="55"/>
  <c r="Q55" i="55" s="1"/>
  <c r="R55" i="55"/>
  <c r="S55" i="55"/>
  <c r="T55" i="55"/>
  <c r="U55" i="55"/>
  <c r="W55" i="55"/>
  <c r="AA55" i="55"/>
  <c r="J56" i="55"/>
  <c r="K56" i="55"/>
  <c r="Q56" i="55" s="1"/>
  <c r="R56" i="55"/>
  <c r="S56" i="55"/>
  <c r="T56" i="55"/>
  <c r="U56" i="55"/>
  <c r="J57" i="55"/>
  <c r="K57" i="55"/>
  <c r="Q57" i="55" s="1"/>
  <c r="R57" i="55"/>
  <c r="S57" i="55"/>
  <c r="T57" i="55"/>
  <c r="U57" i="55"/>
  <c r="W57" i="55"/>
  <c r="J58" i="55"/>
  <c r="K58" i="55"/>
  <c r="Q58" i="55" s="1"/>
  <c r="R58" i="55"/>
  <c r="S58" i="55"/>
  <c r="T58" i="55"/>
  <c r="U58" i="55"/>
  <c r="W58" i="55"/>
  <c r="AA58" i="55"/>
  <c r="J59" i="55"/>
  <c r="K59" i="55"/>
  <c r="Q59" i="55" s="1"/>
  <c r="R59" i="55"/>
  <c r="S59" i="55"/>
  <c r="T59" i="55"/>
  <c r="U59" i="55"/>
  <c r="W59" i="55"/>
  <c r="AA59" i="55"/>
  <c r="J60" i="55"/>
  <c r="K60" i="55"/>
  <c r="Q60" i="55" s="1"/>
  <c r="R60" i="55"/>
  <c r="S60" i="55"/>
  <c r="T60" i="55"/>
  <c r="U60" i="55"/>
  <c r="AA60" i="55"/>
  <c r="J61" i="55"/>
  <c r="K61" i="55"/>
  <c r="Q61" i="55" s="1"/>
  <c r="R61" i="55"/>
  <c r="S61" i="55"/>
  <c r="T61" i="55"/>
  <c r="U61" i="55"/>
  <c r="W61" i="55"/>
  <c r="X61" i="55"/>
  <c r="D62" i="55"/>
  <c r="K68" i="55" s="1"/>
  <c r="Q68" i="55" s="1"/>
  <c r="J62" i="55"/>
  <c r="K62" i="55"/>
  <c r="Q62" i="55" s="1"/>
  <c r="R62" i="55"/>
  <c r="S62" i="55"/>
  <c r="T62" i="55"/>
  <c r="U62" i="55"/>
  <c r="W62" i="55"/>
  <c r="J63" i="55"/>
  <c r="K63" i="55"/>
  <c r="Q63" i="55" s="1"/>
  <c r="R63" i="55"/>
  <c r="S63" i="55"/>
  <c r="T63" i="55"/>
  <c r="U63" i="55"/>
  <c r="W63" i="55"/>
  <c r="J64" i="55"/>
  <c r="K64" i="55"/>
  <c r="Q64" i="55" s="1"/>
  <c r="R64" i="55"/>
  <c r="S64" i="55"/>
  <c r="T64" i="55"/>
  <c r="U64" i="55"/>
  <c r="J65" i="55"/>
  <c r="K65" i="55"/>
  <c r="Q65" i="55" s="1"/>
  <c r="R65" i="55"/>
  <c r="S65" i="55"/>
  <c r="T65" i="55"/>
  <c r="U65" i="55"/>
  <c r="W65" i="55"/>
  <c r="J66" i="55"/>
  <c r="K66" i="55"/>
  <c r="Q66" i="55" s="1"/>
  <c r="R66" i="55"/>
  <c r="S66" i="55"/>
  <c r="T66" i="55"/>
  <c r="U66" i="55"/>
  <c r="W66" i="55"/>
  <c r="J67" i="55"/>
  <c r="K67" i="55"/>
  <c r="Q67" i="55" s="1"/>
  <c r="R67" i="55"/>
  <c r="S67" i="55"/>
  <c r="T67" i="55"/>
  <c r="U67" i="55"/>
  <c r="W67" i="55"/>
  <c r="J68" i="55"/>
  <c r="R68" i="55"/>
  <c r="S68" i="55"/>
  <c r="T68" i="55"/>
  <c r="U68" i="55"/>
  <c r="W68" i="55"/>
  <c r="J69" i="55"/>
  <c r="K69" i="55"/>
  <c r="Q69" i="55" s="1"/>
  <c r="R69" i="55"/>
  <c r="S69" i="55"/>
  <c r="T69" i="55"/>
  <c r="U69" i="55"/>
  <c r="AA69" i="55"/>
  <c r="J70" i="55"/>
  <c r="K70" i="55"/>
  <c r="Q70" i="55" s="1"/>
  <c r="R70" i="55"/>
  <c r="S70" i="55"/>
  <c r="T70" i="55"/>
  <c r="U70" i="55"/>
  <c r="W70" i="55"/>
  <c r="J71" i="55"/>
  <c r="K71" i="55"/>
  <c r="Q71" i="55" s="1"/>
  <c r="R71" i="55"/>
  <c r="S71" i="55"/>
  <c r="T71" i="55"/>
  <c r="U71" i="55"/>
  <c r="W71" i="55"/>
  <c r="J72" i="55"/>
  <c r="K72" i="55"/>
  <c r="Q72" i="55" s="1"/>
  <c r="R72" i="55"/>
  <c r="S72" i="55"/>
  <c r="T72" i="55"/>
  <c r="U72" i="55"/>
  <c r="W72" i="55"/>
  <c r="AA72" i="55"/>
  <c r="J73" i="55"/>
  <c r="K73" i="55"/>
  <c r="Q73" i="55" s="1"/>
  <c r="R73" i="55"/>
  <c r="S73" i="55"/>
  <c r="T73" i="55"/>
  <c r="U73" i="55"/>
  <c r="W73" i="55"/>
  <c r="AA73" i="55"/>
  <c r="J74" i="55"/>
  <c r="K74" i="55"/>
  <c r="Q74" i="55" s="1"/>
  <c r="R74" i="55"/>
  <c r="S74" i="55"/>
  <c r="T74" i="55"/>
  <c r="U74" i="55"/>
  <c r="AA74" i="55"/>
  <c r="J75" i="55"/>
  <c r="K75" i="55"/>
  <c r="Q75" i="55" s="1"/>
  <c r="R75" i="55"/>
  <c r="S75" i="55"/>
  <c r="T75" i="55"/>
  <c r="U75" i="55"/>
  <c r="W75" i="55"/>
  <c r="D76" i="55"/>
  <c r="K76" i="55" s="1"/>
  <c r="Q76" i="55" s="1"/>
  <c r="J76" i="55"/>
  <c r="R76" i="55"/>
  <c r="S76" i="55"/>
  <c r="T76" i="55"/>
  <c r="U76" i="55"/>
  <c r="W76" i="55"/>
  <c r="J77" i="55"/>
  <c r="R77" i="55"/>
  <c r="S77" i="55"/>
  <c r="T77" i="55"/>
  <c r="U77" i="55"/>
  <c r="W77" i="55"/>
  <c r="AA77" i="55"/>
  <c r="J78" i="55"/>
  <c r="R78" i="55"/>
  <c r="S78" i="55"/>
  <c r="T78" i="55"/>
  <c r="U78" i="55"/>
  <c r="W78" i="55"/>
  <c r="X78" i="55"/>
  <c r="AA78" i="55"/>
  <c r="D79" i="55"/>
  <c r="K79" i="55" s="1"/>
  <c r="Q79" i="55" s="1"/>
  <c r="R79" i="55" s="1"/>
  <c r="S79" i="55"/>
  <c r="T79" i="55"/>
  <c r="U79" i="55"/>
  <c r="J80" i="55"/>
  <c r="S80" i="55"/>
  <c r="T80" i="55"/>
  <c r="U80" i="55"/>
  <c r="W80" i="55"/>
  <c r="J81" i="55"/>
  <c r="S81" i="55"/>
  <c r="T81" i="55"/>
  <c r="U81" i="55"/>
  <c r="W81" i="55"/>
  <c r="J82" i="55"/>
  <c r="M82" i="55"/>
  <c r="S82" i="55"/>
  <c r="T82" i="55"/>
  <c r="U82" i="55"/>
  <c r="W82" i="55"/>
  <c r="AA82" i="55"/>
  <c r="J83" i="55"/>
  <c r="S83" i="55"/>
  <c r="T83" i="55"/>
  <c r="U83" i="55"/>
  <c r="W83" i="55"/>
  <c r="AA83" i="55"/>
  <c r="J84" i="55"/>
  <c r="S84" i="55"/>
  <c r="T84" i="55"/>
  <c r="U84" i="55"/>
  <c r="AA84" i="55"/>
  <c r="J85" i="55"/>
  <c r="S85" i="55"/>
  <c r="T85" i="55"/>
  <c r="U85" i="55"/>
  <c r="W85" i="55"/>
  <c r="D86" i="55"/>
  <c r="K86" i="55" s="1"/>
  <c r="Q86" i="55" s="1"/>
  <c r="J86" i="55"/>
  <c r="R86" i="55"/>
  <c r="S86" i="55"/>
  <c r="T86" i="55"/>
  <c r="U86" i="55"/>
  <c r="J87" i="55"/>
  <c r="S87" i="55"/>
  <c r="T87" i="55"/>
  <c r="U87" i="55"/>
  <c r="J88" i="55"/>
  <c r="S88" i="55"/>
  <c r="T88" i="55"/>
  <c r="U88" i="55"/>
  <c r="D89" i="55"/>
  <c r="K93" i="55" s="1"/>
  <c r="Q93" i="55" s="1"/>
  <c r="R93" i="55" s="1"/>
  <c r="S89" i="55"/>
  <c r="T89" i="55"/>
  <c r="U89" i="55"/>
  <c r="W89" i="55"/>
  <c r="J90" i="55"/>
  <c r="S90" i="55"/>
  <c r="T90" i="55"/>
  <c r="U90" i="55"/>
  <c r="W90" i="55"/>
  <c r="J91" i="55"/>
  <c r="S91" i="55"/>
  <c r="T91" i="55"/>
  <c r="U91" i="55"/>
  <c r="W91" i="55"/>
  <c r="J92" i="55"/>
  <c r="S92" i="55"/>
  <c r="T92" i="55"/>
  <c r="U92" i="55"/>
  <c r="W92" i="55"/>
  <c r="AA92" i="55"/>
  <c r="J93" i="55"/>
  <c r="S93" i="55"/>
  <c r="T93" i="55"/>
  <c r="U93" i="55"/>
  <c r="W93" i="55"/>
  <c r="AA93" i="55"/>
  <c r="J94" i="55"/>
  <c r="S94" i="55"/>
  <c r="T94" i="55"/>
  <c r="U94" i="55"/>
  <c r="AA94" i="55"/>
  <c r="J95" i="55"/>
  <c r="S95" i="55"/>
  <c r="T95" i="55"/>
  <c r="U95" i="55"/>
  <c r="W95" i="55"/>
  <c r="D96" i="55"/>
  <c r="AA96" i="55" s="1"/>
  <c r="J96" i="55"/>
  <c r="R96" i="55"/>
  <c r="S96" i="55"/>
  <c r="T96" i="55"/>
  <c r="U96" i="55"/>
  <c r="W96" i="55"/>
  <c r="J97" i="55"/>
  <c r="K97" i="55"/>
  <c r="Q97" i="55" s="1"/>
  <c r="R97" i="55" s="1"/>
  <c r="S97" i="55"/>
  <c r="T97" i="55"/>
  <c r="U97" i="55"/>
  <c r="W97" i="55"/>
  <c r="AA97" i="55"/>
  <c r="J98" i="55"/>
  <c r="S98" i="55"/>
  <c r="T98" i="55"/>
  <c r="U98" i="55"/>
  <c r="W98" i="55"/>
  <c r="X98" i="55"/>
  <c r="AA98" i="55"/>
  <c r="D99" i="55"/>
  <c r="J99" i="55"/>
  <c r="S99" i="55"/>
  <c r="T99" i="55"/>
  <c r="U99" i="55"/>
  <c r="W99" i="55"/>
  <c r="S100" i="55"/>
  <c r="T100" i="55"/>
  <c r="U100" i="55"/>
  <c r="AA100" i="55"/>
  <c r="J101" i="55"/>
  <c r="S101" i="55"/>
  <c r="T101" i="55"/>
  <c r="U101" i="55"/>
  <c r="AA101" i="55"/>
  <c r="J102" i="55"/>
  <c r="S102" i="55"/>
  <c r="T102" i="55"/>
  <c r="U102" i="55"/>
  <c r="W102" i="55"/>
  <c r="X102" i="55"/>
  <c r="AA102" i="55"/>
  <c r="D103" i="55"/>
  <c r="Q103" i="55"/>
  <c r="R103" i="55"/>
  <c r="S103" i="55"/>
  <c r="T103" i="55"/>
  <c r="U103" i="55"/>
  <c r="W103" i="55"/>
  <c r="Y142" i="55"/>
  <c r="AC143" i="55"/>
  <c r="AD143" i="55" s="1"/>
  <c r="Z144" i="55"/>
  <c r="AB144" i="55" s="1"/>
  <c r="AC144" i="55"/>
  <c r="AD144" i="55" s="1"/>
  <c r="Z145" i="55"/>
  <c r="AB145" i="55" s="1"/>
  <c r="AC145" i="55"/>
  <c r="AD145" i="55" s="1"/>
  <c r="Z146" i="55"/>
  <c r="AB146" i="55" s="1"/>
  <c r="AC146" i="55"/>
  <c r="AD146" i="55" s="1"/>
  <c r="AC147" i="55"/>
  <c r="AD147" i="55" s="1"/>
  <c r="AC148" i="55"/>
  <c r="AD148" i="55" s="1"/>
  <c r="Z149" i="55"/>
  <c r="AB149" i="55" s="1"/>
  <c r="AC149" i="55"/>
  <c r="AD149" i="55" s="1"/>
  <c r="K28" i="55" l="1"/>
  <c r="M28" i="55" s="1"/>
  <c r="K52" i="55"/>
  <c r="Q52" i="55" s="1"/>
  <c r="R52" i="55" s="1"/>
  <c r="K47" i="55"/>
  <c r="Q47" i="55" s="1"/>
  <c r="R47" i="55" s="1"/>
  <c r="K51" i="55"/>
  <c r="Q51" i="55" s="1"/>
  <c r="R51" i="55" s="1"/>
  <c r="K48" i="55"/>
  <c r="Q48" i="55" s="1"/>
  <c r="T48" i="55" s="1"/>
  <c r="K83" i="55"/>
  <c r="Q83" i="55" s="1"/>
  <c r="R83" i="55" s="1"/>
  <c r="K82" i="55"/>
  <c r="Q82" i="55" s="1"/>
  <c r="R82" i="55" s="1"/>
  <c r="K53" i="55"/>
  <c r="Q53" i="55" s="1"/>
  <c r="T53" i="55" s="1"/>
  <c r="P23" i="55"/>
  <c r="K101" i="55"/>
  <c r="K100" i="55"/>
  <c r="Q100" i="55" s="1"/>
  <c r="R100" i="55" s="1"/>
  <c r="K84" i="55"/>
  <c r="Q84" i="55" s="1"/>
  <c r="R84" i="55" s="1"/>
  <c r="K80" i="55"/>
  <c r="Q80" i="55" s="1"/>
  <c r="R80" i="55" s="1"/>
  <c r="K43" i="55"/>
  <c r="Q43" i="55" s="1"/>
  <c r="R43" i="55" s="1"/>
  <c r="R120" i="55" s="1"/>
  <c r="K50" i="55"/>
  <c r="Q50" i="55" s="1"/>
  <c r="R50" i="55" s="1"/>
  <c r="K46" i="55"/>
  <c r="K49" i="55"/>
  <c r="Q49" i="55" s="1"/>
  <c r="R49" i="55" s="1"/>
  <c r="AC150" i="55"/>
  <c r="AC151" i="55" s="1"/>
  <c r="Z148" i="55"/>
  <c r="AB148" i="55" s="1"/>
  <c r="AA99" i="55"/>
  <c r="K87" i="55"/>
  <c r="Q87" i="55" s="1"/>
  <c r="R87" i="55" s="1"/>
  <c r="K85" i="55"/>
  <c r="Q85" i="55" s="1"/>
  <c r="R85" i="55" s="1"/>
  <c r="K81" i="55"/>
  <c r="Q81" i="55" s="1"/>
  <c r="R81" i="55" s="1"/>
  <c r="AA79" i="55"/>
  <c r="K30" i="55"/>
  <c r="Q30" i="55" s="1"/>
  <c r="R30" i="55" s="1"/>
  <c r="K40" i="55"/>
  <c r="K39" i="55"/>
  <c r="Q39" i="55" s="1"/>
  <c r="R39" i="55" s="1"/>
  <c r="K31" i="55"/>
  <c r="P25" i="55"/>
  <c r="S104" i="55"/>
  <c r="S118" i="55" s="1"/>
  <c r="K99" i="55"/>
  <c r="Q99" i="55" s="1"/>
  <c r="R99" i="55" s="1"/>
  <c r="P120" i="55"/>
  <c r="D115" i="55" s="1"/>
  <c r="K88" i="55"/>
  <c r="Q88" i="55" s="1"/>
  <c r="R88" i="55" s="1"/>
  <c r="Q40" i="55"/>
  <c r="R40" i="55" s="1"/>
  <c r="K37" i="55"/>
  <c r="Q37" i="55" s="1"/>
  <c r="T37" i="55" s="1"/>
  <c r="K36" i="55"/>
  <c r="Q36" i="55" s="1"/>
  <c r="R36" i="55" s="1"/>
  <c r="Z143" i="55"/>
  <c r="AB143" i="55" s="1"/>
  <c r="K94" i="55"/>
  <c r="Q94" i="55" s="1"/>
  <c r="R94" i="55" s="1"/>
  <c r="AA89" i="55"/>
  <c r="AB96" i="55" s="1"/>
  <c r="K41" i="55"/>
  <c r="Q41" i="55" s="1"/>
  <c r="R41" i="55" s="1"/>
  <c r="K34" i="55"/>
  <c r="Q34" i="55" s="1"/>
  <c r="R34" i="55" s="1"/>
  <c r="AA30" i="55"/>
  <c r="AB150" i="55"/>
  <c r="AA76" i="55"/>
  <c r="K78" i="55"/>
  <c r="Q78" i="55" s="1"/>
  <c r="U104" i="55"/>
  <c r="U118" i="55" s="1"/>
  <c r="K77" i="55"/>
  <c r="Q77" i="55" s="1"/>
  <c r="AB76" i="55"/>
  <c r="Q101" i="55"/>
  <c r="R101" i="55" s="1"/>
  <c r="K102" i="55"/>
  <c r="Q102" i="55" s="1"/>
  <c r="R102" i="55" s="1"/>
  <c r="K96" i="55"/>
  <c r="Q96" i="55" s="1"/>
  <c r="K92" i="55"/>
  <c r="Q92" i="55" s="1"/>
  <c r="R92" i="55" s="1"/>
  <c r="K91" i="55"/>
  <c r="Q91" i="55" s="1"/>
  <c r="R91" i="55" s="1"/>
  <c r="K90" i="55"/>
  <c r="Q90" i="55" s="1"/>
  <c r="R90" i="55" s="1"/>
  <c r="Q46" i="55"/>
  <c r="R46" i="55" s="1"/>
  <c r="K45" i="55"/>
  <c r="Q45" i="55" s="1"/>
  <c r="R45" i="55" s="1"/>
  <c r="K44" i="55"/>
  <c r="Q44" i="55" s="1"/>
  <c r="R44" i="55" s="1"/>
  <c r="K35" i="55"/>
  <c r="Q35" i="55" s="1"/>
  <c r="R35" i="55" s="1"/>
  <c r="K33" i="55"/>
  <c r="Q33" i="55" s="1"/>
  <c r="R33" i="55" s="1"/>
  <c r="K32" i="55"/>
  <c r="Q32" i="55" s="1"/>
  <c r="R32" i="55" s="1"/>
  <c r="Q28" i="55"/>
  <c r="Z147" i="55"/>
  <c r="AB147" i="55" s="1"/>
  <c r="K98" i="55"/>
  <c r="Q98" i="55" s="1"/>
  <c r="R98" i="55" s="1"/>
  <c r="K95" i="55"/>
  <c r="Q95" i="55" s="1"/>
  <c r="R95" i="55" s="1"/>
  <c r="K89" i="55"/>
  <c r="Q89" i="55" s="1"/>
  <c r="R89" i="55" s="1"/>
  <c r="Q31" i="55"/>
  <c r="R31" i="55" s="1"/>
  <c r="G26" i="55"/>
  <c r="P26" i="55" s="1"/>
  <c r="P118" i="55" s="1"/>
  <c r="AC149" i="56"/>
  <c r="AD149" i="56" s="1"/>
  <c r="AC148" i="56"/>
  <c r="AD148" i="56" s="1"/>
  <c r="AC147" i="56"/>
  <c r="AD147" i="56" s="1"/>
  <c r="AC146" i="56"/>
  <c r="AD146" i="56" s="1"/>
  <c r="Z146" i="56"/>
  <c r="AB146" i="56" s="1"/>
  <c r="AC145" i="56"/>
  <c r="AD145" i="56" s="1"/>
  <c r="Z145" i="56"/>
  <c r="AB145" i="56" s="1"/>
  <c r="AC144" i="56"/>
  <c r="AD144" i="56" s="1"/>
  <c r="AC143" i="56"/>
  <c r="AC150" i="56" s="1"/>
  <c r="AC151" i="56" s="1"/>
  <c r="Y142" i="56"/>
  <c r="W103" i="56"/>
  <c r="U103" i="56"/>
  <c r="T103" i="56"/>
  <c r="S103" i="56"/>
  <c r="R103" i="56"/>
  <c r="Q103" i="56"/>
  <c r="D103" i="56"/>
  <c r="AA102" i="56"/>
  <c r="X102" i="56"/>
  <c r="W102" i="56"/>
  <c r="U102" i="56"/>
  <c r="T102" i="56"/>
  <c r="S102" i="56"/>
  <c r="J102" i="56"/>
  <c r="AA101" i="56"/>
  <c r="U101" i="56"/>
  <c r="T101" i="56"/>
  <c r="S101" i="56"/>
  <c r="J101" i="56"/>
  <c r="AA100" i="56"/>
  <c r="U100" i="56"/>
  <c r="T100" i="56"/>
  <c r="S100" i="56"/>
  <c r="W99" i="56"/>
  <c r="U99" i="56"/>
  <c r="T99" i="56"/>
  <c r="S99" i="56"/>
  <c r="J99" i="56"/>
  <c r="D99" i="56"/>
  <c r="AA98" i="56"/>
  <c r="X98" i="56"/>
  <c r="W98" i="56"/>
  <c r="U98" i="56"/>
  <c r="T98" i="56"/>
  <c r="S98" i="56"/>
  <c r="J98" i="56"/>
  <c r="AA97" i="56"/>
  <c r="W97" i="56"/>
  <c r="U97" i="56"/>
  <c r="T97" i="56"/>
  <c r="S97" i="56"/>
  <c r="J97" i="56"/>
  <c r="W96" i="56"/>
  <c r="U96" i="56"/>
  <c r="T96" i="56"/>
  <c r="S96" i="56"/>
  <c r="R96" i="56"/>
  <c r="J96" i="56"/>
  <c r="W95" i="56"/>
  <c r="U95" i="56"/>
  <c r="T95" i="56"/>
  <c r="S95" i="56"/>
  <c r="J95" i="56"/>
  <c r="AA94" i="56"/>
  <c r="U94" i="56"/>
  <c r="T94" i="56"/>
  <c r="S94" i="56"/>
  <c r="J94" i="56"/>
  <c r="AA93" i="56"/>
  <c r="W93" i="56"/>
  <c r="U93" i="56"/>
  <c r="T93" i="56"/>
  <c r="S93" i="56"/>
  <c r="J93" i="56"/>
  <c r="AA92" i="56"/>
  <c r="W92" i="56"/>
  <c r="U92" i="56"/>
  <c r="T92" i="56"/>
  <c r="S92" i="56"/>
  <c r="J92" i="56"/>
  <c r="W91" i="56"/>
  <c r="U91" i="56"/>
  <c r="T91" i="56"/>
  <c r="S91" i="56"/>
  <c r="J91" i="56"/>
  <c r="W90" i="56"/>
  <c r="U90" i="56"/>
  <c r="T90" i="56"/>
  <c r="S90" i="56"/>
  <c r="J90" i="56"/>
  <c r="W89" i="56"/>
  <c r="U89" i="56"/>
  <c r="T89" i="56"/>
  <c r="S89" i="56"/>
  <c r="D89" i="56"/>
  <c r="K95" i="56" s="1"/>
  <c r="Q95" i="56" s="1"/>
  <c r="R95" i="56" s="1"/>
  <c r="U88" i="56"/>
  <c r="T88" i="56"/>
  <c r="S88" i="56"/>
  <c r="J88" i="56"/>
  <c r="U87" i="56"/>
  <c r="T87" i="56"/>
  <c r="S87" i="56"/>
  <c r="J87" i="56"/>
  <c r="U86" i="56"/>
  <c r="T86" i="56"/>
  <c r="S86" i="56"/>
  <c r="R86" i="56"/>
  <c r="J86" i="56"/>
  <c r="W85" i="56"/>
  <c r="U85" i="56"/>
  <c r="T85" i="56"/>
  <c r="S85" i="56"/>
  <c r="J85" i="56"/>
  <c r="AA84" i="56"/>
  <c r="U84" i="56"/>
  <c r="T84" i="56"/>
  <c r="S84" i="56"/>
  <c r="J84" i="56"/>
  <c r="AA83" i="56"/>
  <c r="W83" i="56"/>
  <c r="U83" i="56"/>
  <c r="T83" i="56"/>
  <c r="S83" i="56"/>
  <c r="J83" i="56"/>
  <c r="AA82" i="56"/>
  <c r="W82" i="56"/>
  <c r="U82" i="56"/>
  <c r="T82" i="56"/>
  <c r="S82" i="56"/>
  <c r="M82" i="56"/>
  <c r="J82" i="56"/>
  <c r="W81" i="56"/>
  <c r="U81" i="56"/>
  <c r="T81" i="56"/>
  <c r="S81" i="56"/>
  <c r="J81" i="56"/>
  <c r="W80" i="56"/>
  <c r="U80" i="56"/>
  <c r="T80" i="56"/>
  <c r="S80" i="56"/>
  <c r="J80" i="56"/>
  <c r="U79" i="56"/>
  <c r="T79" i="56"/>
  <c r="S79" i="56"/>
  <c r="D79" i="56"/>
  <c r="K83" i="56" s="1"/>
  <c r="Q83" i="56" s="1"/>
  <c r="R83" i="56" s="1"/>
  <c r="AA78" i="56"/>
  <c r="X78" i="56"/>
  <c r="W78" i="56"/>
  <c r="U78" i="56"/>
  <c r="T78" i="56"/>
  <c r="S78" i="56"/>
  <c r="R78" i="56"/>
  <c r="J78" i="56"/>
  <c r="AA77" i="56"/>
  <c r="W77" i="56"/>
  <c r="U77" i="56"/>
  <c r="T77" i="56"/>
  <c r="S77" i="56"/>
  <c r="R77" i="56"/>
  <c r="J77" i="56"/>
  <c r="W76" i="56"/>
  <c r="U76" i="56"/>
  <c r="T76" i="56"/>
  <c r="S76" i="56"/>
  <c r="R76" i="56"/>
  <c r="J76" i="56"/>
  <c r="D76" i="56"/>
  <c r="K77" i="56" s="1"/>
  <c r="Q77" i="56" s="1"/>
  <c r="W75" i="56"/>
  <c r="U75" i="56"/>
  <c r="T75" i="56"/>
  <c r="S75" i="56"/>
  <c r="R75" i="56"/>
  <c r="K75" i="56"/>
  <c r="Q75" i="56" s="1"/>
  <c r="J75" i="56"/>
  <c r="AA74" i="56"/>
  <c r="U74" i="56"/>
  <c r="T74" i="56"/>
  <c r="S74" i="56"/>
  <c r="R74" i="56"/>
  <c r="K74" i="56"/>
  <c r="Q74" i="56" s="1"/>
  <c r="J74" i="56"/>
  <c r="AA73" i="56"/>
  <c r="W73" i="56"/>
  <c r="U73" i="56"/>
  <c r="T73" i="56"/>
  <c r="S73" i="56"/>
  <c r="R73" i="56"/>
  <c r="K73" i="56"/>
  <c r="Q73" i="56" s="1"/>
  <c r="J73" i="56"/>
  <c r="AA72" i="56"/>
  <c r="W72" i="56"/>
  <c r="U72" i="56"/>
  <c r="T72" i="56"/>
  <c r="S72" i="56"/>
  <c r="R72" i="56"/>
  <c r="K72" i="56"/>
  <c r="Q72" i="56" s="1"/>
  <c r="J72" i="56"/>
  <c r="W71" i="56"/>
  <c r="U71" i="56"/>
  <c r="T71" i="56"/>
  <c r="S71" i="56"/>
  <c r="R71" i="56"/>
  <c r="K71" i="56"/>
  <c r="Q71" i="56" s="1"/>
  <c r="J71" i="56"/>
  <c r="W70" i="56"/>
  <c r="U70" i="56"/>
  <c r="T70" i="56"/>
  <c r="S70" i="56"/>
  <c r="R70" i="56"/>
  <c r="K70" i="56"/>
  <c r="Q70" i="56" s="1"/>
  <c r="J70" i="56"/>
  <c r="AA69" i="56"/>
  <c r="U69" i="56"/>
  <c r="T69" i="56"/>
  <c r="S69" i="56"/>
  <c r="R69" i="56"/>
  <c r="K69" i="56"/>
  <c r="Q69" i="56" s="1"/>
  <c r="J69" i="56"/>
  <c r="W68" i="56"/>
  <c r="U68" i="56"/>
  <c r="T68" i="56"/>
  <c r="S68" i="56"/>
  <c r="R68" i="56"/>
  <c r="J68" i="56"/>
  <c r="W67" i="56"/>
  <c r="U67" i="56"/>
  <c r="T67" i="56"/>
  <c r="S67" i="56"/>
  <c r="R67" i="56"/>
  <c r="K67" i="56"/>
  <c r="Q67" i="56" s="1"/>
  <c r="J67" i="56"/>
  <c r="W66" i="56"/>
  <c r="U66" i="56"/>
  <c r="T66" i="56"/>
  <c r="S66" i="56"/>
  <c r="R66" i="56"/>
  <c r="K66" i="56"/>
  <c r="Q66" i="56" s="1"/>
  <c r="J66" i="56"/>
  <c r="W65" i="56"/>
  <c r="U65" i="56"/>
  <c r="T65" i="56"/>
  <c r="S65" i="56"/>
  <c r="R65" i="56"/>
  <c r="K65" i="56"/>
  <c r="Q65" i="56" s="1"/>
  <c r="J65" i="56"/>
  <c r="U64" i="56"/>
  <c r="T64" i="56"/>
  <c r="S64" i="56"/>
  <c r="R64" i="56"/>
  <c r="K64" i="56"/>
  <c r="Q64" i="56" s="1"/>
  <c r="J64" i="56"/>
  <c r="W63" i="56"/>
  <c r="U63" i="56"/>
  <c r="T63" i="56"/>
  <c r="S63" i="56"/>
  <c r="R63" i="56"/>
  <c r="K63" i="56"/>
  <c r="Q63" i="56" s="1"/>
  <c r="J63" i="56"/>
  <c r="W62" i="56"/>
  <c r="U62" i="56"/>
  <c r="T62" i="56"/>
  <c r="S62" i="56"/>
  <c r="R62" i="56"/>
  <c r="K62" i="56"/>
  <c r="Q62" i="56" s="1"/>
  <c r="J62" i="56"/>
  <c r="D62" i="56"/>
  <c r="K68" i="56" s="1"/>
  <c r="Q68" i="56" s="1"/>
  <c r="X61" i="56"/>
  <c r="W61" i="56"/>
  <c r="U61" i="56"/>
  <c r="T61" i="56"/>
  <c r="S61" i="56"/>
  <c r="R61" i="56"/>
  <c r="K61" i="56"/>
  <c r="Q61" i="56" s="1"/>
  <c r="J61" i="56"/>
  <c r="AA60" i="56"/>
  <c r="U60" i="56"/>
  <c r="T60" i="56"/>
  <c r="S60" i="56"/>
  <c r="R60" i="56"/>
  <c r="K60" i="56"/>
  <c r="Q60" i="56" s="1"/>
  <c r="J60" i="56"/>
  <c r="AA59" i="56"/>
  <c r="W59" i="56"/>
  <c r="U59" i="56"/>
  <c r="T59" i="56"/>
  <c r="S59" i="56"/>
  <c r="R59" i="56"/>
  <c r="K59" i="56"/>
  <c r="Q59" i="56" s="1"/>
  <c r="J59" i="56"/>
  <c r="AA58" i="56"/>
  <c r="W58" i="56"/>
  <c r="U58" i="56"/>
  <c r="T58" i="56"/>
  <c r="S58" i="56"/>
  <c r="R58" i="56"/>
  <c r="K58" i="56"/>
  <c r="Q58" i="56" s="1"/>
  <c r="J58" i="56"/>
  <c r="W57" i="56"/>
  <c r="U57" i="56"/>
  <c r="T57" i="56"/>
  <c r="S57" i="56"/>
  <c r="R57" i="56"/>
  <c r="K57" i="56"/>
  <c r="Q57" i="56" s="1"/>
  <c r="J57" i="56"/>
  <c r="U56" i="56"/>
  <c r="T56" i="56"/>
  <c r="S56" i="56"/>
  <c r="R56" i="56"/>
  <c r="K56" i="56"/>
  <c r="Q56" i="56" s="1"/>
  <c r="J56" i="56"/>
  <c r="AA55" i="56"/>
  <c r="W55" i="56"/>
  <c r="U55" i="56"/>
  <c r="T55" i="56"/>
  <c r="S55" i="56"/>
  <c r="R55" i="56"/>
  <c r="K55" i="56"/>
  <c r="Q55" i="56" s="1"/>
  <c r="J55" i="56"/>
  <c r="AA54" i="56"/>
  <c r="W54" i="56"/>
  <c r="U54" i="56"/>
  <c r="T54" i="56"/>
  <c r="S54" i="56"/>
  <c r="R54" i="56"/>
  <c r="K54" i="56"/>
  <c r="Q54" i="56" s="1"/>
  <c r="J54" i="56"/>
  <c r="U53" i="56"/>
  <c r="S53" i="56"/>
  <c r="R53" i="56"/>
  <c r="J53" i="56"/>
  <c r="U52" i="56"/>
  <c r="T52" i="56"/>
  <c r="S52" i="56"/>
  <c r="J52" i="56"/>
  <c r="U51" i="56"/>
  <c r="T51" i="56"/>
  <c r="S51" i="56"/>
  <c r="J51" i="56"/>
  <c r="U50" i="56"/>
  <c r="T50" i="56"/>
  <c r="S50" i="56"/>
  <c r="U49" i="56"/>
  <c r="T49" i="56"/>
  <c r="S49" i="56"/>
  <c r="AA48" i="56"/>
  <c r="W48" i="56"/>
  <c r="U48" i="56"/>
  <c r="S48" i="56"/>
  <c r="R48" i="56"/>
  <c r="AA47" i="56"/>
  <c r="W47" i="56"/>
  <c r="U47" i="56"/>
  <c r="T47" i="56"/>
  <c r="S47" i="56"/>
  <c r="J47" i="56"/>
  <c r="AA46" i="56"/>
  <c r="W46" i="56"/>
  <c r="U46" i="56"/>
  <c r="T46" i="56"/>
  <c r="S46" i="56"/>
  <c r="J46" i="56"/>
  <c r="W45" i="56"/>
  <c r="U45" i="56"/>
  <c r="T45" i="56"/>
  <c r="S45" i="56"/>
  <c r="AA44" i="56"/>
  <c r="W44" i="56"/>
  <c r="U44" i="56"/>
  <c r="T44" i="56"/>
  <c r="S44" i="56"/>
  <c r="J44" i="56"/>
  <c r="W43" i="56"/>
  <c r="U43" i="56"/>
  <c r="T43" i="56"/>
  <c r="S43" i="56"/>
  <c r="J43" i="56"/>
  <c r="D43" i="56"/>
  <c r="U42" i="56"/>
  <c r="T42" i="56"/>
  <c r="S42" i="56"/>
  <c r="J42" i="56"/>
  <c r="U41" i="56"/>
  <c r="T41" i="56"/>
  <c r="S41" i="56"/>
  <c r="J41" i="56"/>
  <c r="U40" i="56"/>
  <c r="T40" i="56"/>
  <c r="S40" i="56"/>
  <c r="U39" i="56"/>
  <c r="T39" i="56"/>
  <c r="S39" i="56"/>
  <c r="U38" i="56"/>
  <c r="S38" i="56"/>
  <c r="R38" i="56"/>
  <c r="X37" i="56"/>
  <c r="W37" i="56"/>
  <c r="U37" i="56"/>
  <c r="S37" i="56"/>
  <c r="R37" i="56"/>
  <c r="J37" i="56"/>
  <c r="AA36" i="56"/>
  <c r="U36" i="56"/>
  <c r="T36" i="56"/>
  <c r="S36" i="56"/>
  <c r="J36" i="56"/>
  <c r="AA35" i="56"/>
  <c r="W35" i="56"/>
  <c r="U35" i="56"/>
  <c r="T35" i="56"/>
  <c r="S35" i="56"/>
  <c r="J35" i="56"/>
  <c r="AA34" i="56"/>
  <c r="U34" i="56"/>
  <c r="T34" i="56"/>
  <c r="S34" i="56"/>
  <c r="W33" i="56"/>
  <c r="U33" i="56"/>
  <c r="T33" i="56"/>
  <c r="S33" i="56"/>
  <c r="AA32" i="56"/>
  <c r="W32" i="56"/>
  <c r="U32" i="56"/>
  <c r="T32" i="56"/>
  <c r="S32" i="56"/>
  <c r="J32" i="56"/>
  <c r="AA31" i="56"/>
  <c r="W31" i="56"/>
  <c r="U31" i="56"/>
  <c r="T31" i="56"/>
  <c r="S31" i="56"/>
  <c r="W30" i="56"/>
  <c r="U30" i="56"/>
  <c r="T30" i="56"/>
  <c r="S30" i="56"/>
  <c r="J30" i="56"/>
  <c r="D30" i="56"/>
  <c r="K30" i="56" s="1"/>
  <c r="Q30" i="56" s="1"/>
  <c r="R30" i="56" s="1"/>
  <c r="AA29" i="56"/>
  <c r="X29" i="56"/>
  <c r="X104" i="56" s="1"/>
  <c r="W29" i="56"/>
  <c r="U29" i="56"/>
  <c r="T29" i="56"/>
  <c r="S29" i="56"/>
  <c r="K29" i="56"/>
  <c r="Q29" i="56" s="1"/>
  <c r="R29" i="56" s="1"/>
  <c r="J29" i="56"/>
  <c r="W28" i="56"/>
  <c r="U28" i="56"/>
  <c r="T28" i="56"/>
  <c r="S28" i="56"/>
  <c r="D28" i="56"/>
  <c r="Z149" i="56" s="1"/>
  <c r="AB149" i="56" s="1"/>
  <c r="AA27" i="56"/>
  <c r="G27" i="56"/>
  <c r="P27" i="56" s="1"/>
  <c r="D26" i="56"/>
  <c r="G26" i="56" s="1"/>
  <c r="P26" i="56" s="1"/>
  <c r="O25" i="56"/>
  <c r="G25" i="56"/>
  <c r="D24" i="56"/>
  <c r="G24" i="56" s="1"/>
  <c r="P24" i="56" s="1"/>
  <c r="O23" i="56"/>
  <c r="G23" i="56"/>
  <c r="G22" i="56"/>
  <c r="P22" i="56" s="1"/>
  <c r="G21" i="56"/>
  <c r="P21" i="56" s="1"/>
  <c r="G20" i="56"/>
  <c r="P20" i="56" s="1"/>
  <c r="G19" i="56"/>
  <c r="P19" i="56" s="1"/>
  <c r="G18" i="56"/>
  <c r="P18" i="56" s="1"/>
  <c r="G17" i="56"/>
  <c r="P17" i="56" s="1"/>
  <c r="G16" i="56"/>
  <c r="P16" i="56" s="1"/>
  <c r="G15" i="56"/>
  <c r="P15" i="56" s="1"/>
  <c r="G14" i="56"/>
  <c r="P14" i="56" s="1"/>
  <c r="G13" i="56"/>
  <c r="P13" i="56" s="1"/>
  <c r="T104" i="55" l="1"/>
  <c r="T118" i="55" s="1"/>
  <c r="T121" i="55" s="1"/>
  <c r="AA104" i="55"/>
  <c r="Z148" i="56"/>
  <c r="AB148" i="56" s="1"/>
  <c r="K100" i="56"/>
  <c r="K42" i="56"/>
  <c r="Q42" i="56" s="1"/>
  <c r="R42" i="56" s="1"/>
  <c r="K40" i="56"/>
  <c r="Q40" i="56" s="1"/>
  <c r="R40" i="56" s="1"/>
  <c r="K39" i="56"/>
  <c r="K31" i="56"/>
  <c r="Q31" i="56" s="1"/>
  <c r="R31" i="56" s="1"/>
  <c r="K49" i="56"/>
  <c r="K46" i="56"/>
  <c r="K50" i="56"/>
  <c r="Q50" i="56" s="1"/>
  <c r="R50" i="56" s="1"/>
  <c r="K76" i="56"/>
  <c r="Q76" i="56" s="1"/>
  <c r="K101" i="56"/>
  <c r="K102" i="56" s="1"/>
  <c r="Q102" i="56" s="1"/>
  <c r="R102" i="56" s="1"/>
  <c r="K28" i="56"/>
  <c r="M28" i="56" s="1"/>
  <c r="AA28" i="56"/>
  <c r="K43" i="56"/>
  <c r="Q43" i="56" s="1"/>
  <c r="R43" i="56" s="1"/>
  <c r="R120" i="56" s="1"/>
  <c r="K78" i="56"/>
  <c r="Q78" i="56" s="1"/>
  <c r="AA76" i="56"/>
  <c r="AB76" i="56" s="1"/>
  <c r="D106" i="55"/>
  <c r="D112" i="55" s="1"/>
  <c r="F120" i="55"/>
  <c r="D109" i="55"/>
  <c r="R28" i="55"/>
  <c r="R104" i="55" s="1"/>
  <c r="R118" i="55" s="1"/>
  <c r="R121" i="55" s="1"/>
  <c r="Q104" i="55"/>
  <c r="P121" i="55"/>
  <c r="D116" i="55" s="1"/>
  <c r="D117" i="55" s="1"/>
  <c r="F123" i="55"/>
  <c r="K99" i="56"/>
  <c r="Q99" i="56" s="1"/>
  <c r="R99" i="56" s="1"/>
  <c r="P25" i="56"/>
  <c r="K89" i="56"/>
  <c r="Q89" i="56" s="1"/>
  <c r="R89" i="56" s="1"/>
  <c r="Q100" i="56"/>
  <c r="R100" i="56" s="1"/>
  <c r="P23" i="56"/>
  <c r="P118" i="56" s="1"/>
  <c r="K44" i="56"/>
  <c r="Q44" i="56" s="1"/>
  <c r="R44" i="56" s="1"/>
  <c r="Q46" i="56"/>
  <c r="R46" i="56" s="1"/>
  <c r="AA43" i="56"/>
  <c r="K45" i="56"/>
  <c r="Q45" i="56" s="1"/>
  <c r="R45" i="56" s="1"/>
  <c r="U104" i="56"/>
  <c r="U118" i="56" s="1"/>
  <c r="K33" i="56"/>
  <c r="Q33" i="56" s="1"/>
  <c r="R33" i="56" s="1"/>
  <c r="K38" i="56"/>
  <c r="Q38" i="56" s="1"/>
  <c r="T38" i="56" s="1"/>
  <c r="K34" i="56"/>
  <c r="Q34" i="56" s="1"/>
  <c r="R34" i="56" s="1"/>
  <c r="K35" i="56"/>
  <c r="Q35" i="56" s="1"/>
  <c r="R35" i="56" s="1"/>
  <c r="S104" i="56"/>
  <c r="S118" i="56" s="1"/>
  <c r="AA30" i="56"/>
  <c r="K32" i="56"/>
  <c r="Q32" i="56" s="1"/>
  <c r="R32" i="56" s="1"/>
  <c r="K37" i="56"/>
  <c r="Q37" i="56" s="1"/>
  <c r="T37" i="56" s="1"/>
  <c r="Q39" i="56"/>
  <c r="R39" i="56" s="1"/>
  <c r="K41" i="56"/>
  <c r="Q41" i="56" s="1"/>
  <c r="R41" i="56" s="1"/>
  <c r="K53" i="56"/>
  <c r="Q53" i="56" s="1"/>
  <c r="T53" i="56" s="1"/>
  <c r="K79" i="56"/>
  <c r="Q79" i="56" s="1"/>
  <c r="R79" i="56" s="1"/>
  <c r="K84" i="56"/>
  <c r="Q84" i="56" s="1"/>
  <c r="R84" i="56" s="1"/>
  <c r="D86" i="56"/>
  <c r="K90" i="56"/>
  <c r="Q90" i="56" s="1"/>
  <c r="R90" i="56" s="1"/>
  <c r="K91" i="56"/>
  <c r="Q91" i="56" s="1"/>
  <c r="R91" i="56" s="1"/>
  <c r="K92" i="56"/>
  <c r="Q92" i="56" s="1"/>
  <c r="R92" i="56" s="1"/>
  <c r="AD143" i="56"/>
  <c r="AA26" i="56"/>
  <c r="K36" i="56"/>
  <c r="Q36" i="56" s="1"/>
  <c r="R36" i="56" s="1"/>
  <c r="K47" i="56"/>
  <c r="Q47" i="56" s="1"/>
  <c r="R47" i="56" s="1"/>
  <c r="K48" i="56"/>
  <c r="Q48" i="56" s="1"/>
  <c r="T48" i="56" s="1"/>
  <c r="Q49" i="56"/>
  <c r="R49" i="56" s="1"/>
  <c r="K52" i="56"/>
  <c r="Q52" i="56" s="1"/>
  <c r="R52" i="56" s="1"/>
  <c r="K80" i="56"/>
  <c r="Q80" i="56" s="1"/>
  <c r="R80" i="56" s="1"/>
  <c r="K81" i="56"/>
  <c r="Q81" i="56" s="1"/>
  <c r="R81" i="56" s="1"/>
  <c r="K82" i="56"/>
  <c r="Q82" i="56" s="1"/>
  <c r="R82" i="56" s="1"/>
  <c r="K85" i="56"/>
  <c r="Q85" i="56" s="1"/>
  <c r="R85" i="56" s="1"/>
  <c r="K93" i="56"/>
  <c r="Q93" i="56" s="1"/>
  <c r="R93" i="56" s="1"/>
  <c r="AA99" i="56"/>
  <c r="P120" i="56"/>
  <c r="D115" i="56" s="1"/>
  <c r="Z143" i="56"/>
  <c r="AB143" i="56" s="1"/>
  <c r="Z144" i="56"/>
  <c r="AB144" i="56" s="1"/>
  <c r="Z147" i="56"/>
  <c r="AB147" i="56" s="1"/>
  <c r="K51" i="56"/>
  <c r="Q51" i="56" s="1"/>
  <c r="R51" i="56" s="1"/>
  <c r="AA89" i="56"/>
  <c r="K94" i="56"/>
  <c r="Q94" i="56" s="1"/>
  <c r="R94" i="56" s="1"/>
  <c r="D96" i="56"/>
  <c r="AA79" i="56"/>
  <c r="AC149" i="54"/>
  <c r="AD149" i="54" s="1"/>
  <c r="AC148" i="54"/>
  <c r="AD148" i="54" s="1"/>
  <c r="AC147" i="54"/>
  <c r="AD147" i="54" s="1"/>
  <c r="AC146" i="54"/>
  <c r="AD146" i="54" s="1"/>
  <c r="Z146" i="54"/>
  <c r="AB146" i="54" s="1"/>
  <c r="AC145" i="54"/>
  <c r="AD145" i="54" s="1"/>
  <c r="Z145" i="54"/>
  <c r="AB145" i="54" s="1"/>
  <c r="AC144" i="54"/>
  <c r="AD144" i="54" s="1"/>
  <c r="AC143" i="54"/>
  <c r="AC150" i="54" s="1"/>
  <c r="AC151" i="54" s="1"/>
  <c r="Y142" i="54"/>
  <c r="W103" i="54"/>
  <c r="U103" i="54"/>
  <c r="T103" i="54"/>
  <c r="S103" i="54"/>
  <c r="R103" i="54"/>
  <c r="Q103" i="54"/>
  <c r="D103" i="54"/>
  <c r="AA102" i="54"/>
  <c r="X102" i="54"/>
  <c r="W102" i="54"/>
  <c r="U102" i="54"/>
  <c r="T102" i="54"/>
  <c r="S102" i="54"/>
  <c r="J102" i="54"/>
  <c r="AA101" i="54"/>
  <c r="U101" i="54"/>
  <c r="T101" i="54"/>
  <c r="S101" i="54"/>
  <c r="J101" i="54"/>
  <c r="AA100" i="54"/>
  <c r="U100" i="54"/>
  <c r="T100" i="54"/>
  <c r="S100" i="54"/>
  <c r="W99" i="54"/>
  <c r="U99" i="54"/>
  <c r="T99" i="54"/>
  <c r="S99" i="54"/>
  <c r="J99" i="54"/>
  <c r="D99" i="54"/>
  <c r="AA98" i="54"/>
  <c r="X98" i="54"/>
  <c r="W98" i="54"/>
  <c r="U98" i="54"/>
  <c r="T98" i="54"/>
  <c r="S98" i="54"/>
  <c r="J98" i="54"/>
  <c r="AA97" i="54"/>
  <c r="W97" i="54"/>
  <c r="U97" i="54"/>
  <c r="T97" i="54"/>
  <c r="S97" i="54"/>
  <c r="J97" i="54"/>
  <c r="W96" i="54"/>
  <c r="U96" i="54"/>
  <c r="T96" i="54"/>
  <c r="S96" i="54"/>
  <c r="R96" i="54"/>
  <c r="J96" i="54"/>
  <c r="W95" i="54"/>
  <c r="U95" i="54"/>
  <c r="T95" i="54"/>
  <c r="S95" i="54"/>
  <c r="J95" i="54"/>
  <c r="AA94" i="54"/>
  <c r="U94" i="54"/>
  <c r="T94" i="54"/>
  <c r="S94" i="54"/>
  <c r="J94" i="54"/>
  <c r="AA93" i="54"/>
  <c r="W93" i="54"/>
  <c r="U93" i="54"/>
  <c r="T93" i="54"/>
  <c r="S93" i="54"/>
  <c r="J93" i="54"/>
  <c r="AA92" i="54"/>
  <c r="W92" i="54"/>
  <c r="U92" i="54"/>
  <c r="T92" i="54"/>
  <c r="S92" i="54"/>
  <c r="J92" i="54"/>
  <c r="W91" i="54"/>
  <c r="U91" i="54"/>
  <c r="T91" i="54"/>
  <c r="S91" i="54"/>
  <c r="J91" i="54"/>
  <c r="W90" i="54"/>
  <c r="U90" i="54"/>
  <c r="T90" i="54"/>
  <c r="S90" i="54"/>
  <c r="J90" i="54"/>
  <c r="W89" i="54"/>
  <c r="U89" i="54"/>
  <c r="T89" i="54"/>
  <c r="S89" i="54"/>
  <c r="D89" i="54"/>
  <c r="K95" i="54" s="1"/>
  <c r="Q95" i="54" s="1"/>
  <c r="R95" i="54" s="1"/>
  <c r="U88" i="54"/>
  <c r="T88" i="54"/>
  <c r="S88" i="54"/>
  <c r="J88" i="54"/>
  <c r="U87" i="54"/>
  <c r="T87" i="54"/>
  <c r="S87" i="54"/>
  <c r="J87" i="54"/>
  <c r="U86" i="54"/>
  <c r="T86" i="54"/>
  <c r="S86" i="54"/>
  <c r="R86" i="54"/>
  <c r="J86" i="54"/>
  <c r="W85" i="54"/>
  <c r="U85" i="54"/>
  <c r="T85" i="54"/>
  <c r="S85" i="54"/>
  <c r="J85" i="54"/>
  <c r="AA84" i="54"/>
  <c r="U84" i="54"/>
  <c r="T84" i="54"/>
  <c r="S84" i="54"/>
  <c r="J84" i="54"/>
  <c r="AA83" i="54"/>
  <c r="W83" i="54"/>
  <c r="U83" i="54"/>
  <c r="T83" i="54"/>
  <c r="S83" i="54"/>
  <c r="J83" i="54"/>
  <c r="AA82" i="54"/>
  <c r="W82" i="54"/>
  <c r="U82" i="54"/>
  <c r="T82" i="54"/>
  <c r="S82" i="54"/>
  <c r="M82" i="54"/>
  <c r="J82" i="54"/>
  <c r="W81" i="54"/>
  <c r="U81" i="54"/>
  <c r="T81" i="54"/>
  <c r="S81" i="54"/>
  <c r="J81" i="54"/>
  <c r="W80" i="54"/>
  <c r="U80" i="54"/>
  <c r="T80" i="54"/>
  <c r="S80" i="54"/>
  <c r="J80" i="54"/>
  <c r="U79" i="54"/>
  <c r="T79" i="54"/>
  <c r="S79" i="54"/>
  <c r="D79" i="54"/>
  <c r="K83" i="54" s="1"/>
  <c r="Q83" i="54" s="1"/>
  <c r="R83" i="54" s="1"/>
  <c r="AA78" i="54"/>
  <c r="X78" i="54"/>
  <c r="W78" i="54"/>
  <c r="U78" i="54"/>
  <c r="T78" i="54"/>
  <c r="S78" i="54"/>
  <c r="R78" i="54"/>
  <c r="J78" i="54"/>
  <c r="AA77" i="54"/>
  <c r="W77" i="54"/>
  <c r="U77" i="54"/>
  <c r="T77" i="54"/>
  <c r="S77" i="54"/>
  <c r="R77" i="54"/>
  <c r="J77" i="54"/>
  <c r="W76" i="54"/>
  <c r="U76" i="54"/>
  <c r="T76" i="54"/>
  <c r="S76" i="54"/>
  <c r="R76" i="54"/>
  <c r="J76" i="54"/>
  <c r="D76" i="54"/>
  <c r="K77" i="54" s="1"/>
  <c r="Q77" i="54" s="1"/>
  <c r="W75" i="54"/>
  <c r="U75" i="54"/>
  <c r="T75" i="54"/>
  <c r="S75" i="54"/>
  <c r="R75" i="54"/>
  <c r="K75" i="54"/>
  <c r="Q75" i="54" s="1"/>
  <c r="J75" i="54"/>
  <c r="AA74" i="54"/>
  <c r="U74" i="54"/>
  <c r="T74" i="54"/>
  <c r="S74" i="54"/>
  <c r="R74" i="54"/>
  <c r="K74" i="54"/>
  <c r="Q74" i="54" s="1"/>
  <c r="J74" i="54"/>
  <c r="AA73" i="54"/>
  <c r="W73" i="54"/>
  <c r="U73" i="54"/>
  <c r="T73" i="54"/>
  <c r="S73" i="54"/>
  <c r="R73" i="54"/>
  <c r="K73" i="54"/>
  <c r="Q73" i="54" s="1"/>
  <c r="J73" i="54"/>
  <c r="AA72" i="54"/>
  <c r="W72" i="54"/>
  <c r="U72" i="54"/>
  <c r="T72" i="54"/>
  <c r="S72" i="54"/>
  <c r="R72" i="54"/>
  <c r="K72" i="54"/>
  <c r="Q72" i="54" s="1"/>
  <c r="J72" i="54"/>
  <c r="W71" i="54"/>
  <c r="U71" i="54"/>
  <c r="T71" i="54"/>
  <c r="S71" i="54"/>
  <c r="R71" i="54"/>
  <c r="K71" i="54"/>
  <c r="Q71" i="54" s="1"/>
  <c r="J71" i="54"/>
  <c r="W70" i="54"/>
  <c r="U70" i="54"/>
  <c r="T70" i="54"/>
  <c r="S70" i="54"/>
  <c r="R70" i="54"/>
  <c r="K70" i="54"/>
  <c r="Q70" i="54" s="1"/>
  <c r="J70" i="54"/>
  <c r="AA69" i="54"/>
  <c r="U69" i="54"/>
  <c r="T69" i="54"/>
  <c r="S69" i="54"/>
  <c r="R69" i="54"/>
  <c r="K69" i="54"/>
  <c r="Q69" i="54" s="1"/>
  <c r="J69" i="54"/>
  <c r="W68" i="54"/>
  <c r="U68" i="54"/>
  <c r="T68" i="54"/>
  <c r="S68" i="54"/>
  <c r="R68" i="54"/>
  <c r="J68" i="54"/>
  <c r="W67" i="54"/>
  <c r="U67" i="54"/>
  <c r="T67" i="54"/>
  <c r="S67" i="54"/>
  <c r="R67" i="54"/>
  <c r="K67" i="54"/>
  <c r="Q67" i="54" s="1"/>
  <c r="J67" i="54"/>
  <c r="W66" i="54"/>
  <c r="U66" i="54"/>
  <c r="T66" i="54"/>
  <c r="S66" i="54"/>
  <c r="R66" i="54"/>
  <c r="K66" i="54"/>
  <c r="Q66" i="54" s="1"/>
  <c r="J66" i="54"/>
  <c r="W65" i="54"/>
  <c r="U65" i="54"/>
  <c r="T65" i="54"/>
  <c r="S65" i="54"/>
  <c r="R65" i="54"/>
  <c r="K65" i="54"/>
  <c r="Q65" i="54" s="1"/>
  <c r="J65" i="54"/>
  <c r="U64" i="54"/>
  <c r="T64" i="54"/>
  <c r="S64" i="54"/>
  <c r="R64" i="54"/>
  <c r="K64" i="54"/>
  <c r="Q64" i="54" s="1"/>
  <c r="J64" i="54"/>
  <c r="W63" i="54"/>
  <c r="U63" i="54"/>
  <c r="T63" i="54"/>
  <c r="S63" i="54"/>
  <c r="R63" i="54"/>
  <c r="K63" i="54"/>
  <c r="Q63" i="54" s="1"/>
  <c r="J63" i="54"/>
  <c r="W62" i="54"/>
  <c r="U62" i="54"/>
  <c r="T62" i="54"/>
  <c r="S62" i="54"/>
  <c r="R62" i="54"/>
  <c r="K62" i="54"/>
  <c r="Q62" i="54" s="1"/>
  <c r="J62" i="54"/>
  <c r="D62" i="54"/>
  <c r="K68" i="54" s="1"/>
  <c r="Q68" i="54" s="1"/>
  <c r="X61" i="54"/>
  <c r="W61" i="54"/>
  <c r="U61" i="54"/>
  <c r="T61" i="54"/>
  <c r="S61" i="54"/>
  <c r="R61" i="54"/>
  <c r="K61" i="54"/>
  <c r="Q61" i="54" s="1"/>
  <c r="J61" i="54"/>
  <c r="AA60" i="54"/>
  <c r="U60" i="54"/>
  <c r="T60" i="54"/>
  <c r="S60" i="54"/>
  <c r="R60" i="54"/>
  <c r="K60" i="54"/>
  <c r="Q60" i="54" s="1"/>
  <c r="J60" i="54"/>
  <c r="AA59" i="54"/>
  <c r="W59" i="54"/>
  <c r="U59" i="54"/>
  <c r="T59" i="54"/>
  <c r="S59" i="54"/>
  <c r="R59" i="54"/>
  <c r="K59" i="54"/>
  <c r="Q59" i="54" s="1"/>
  <c r="J59" i="54"/>
  <c r="AA58" i="54"/>
  <c r="W58" i="54"/>
  <c r="U58" i="54"/>
  <c r="T58" i="54"/>
  <c r="S58" i="54"/>
  <c r="R58" i="54"/>
  <c r="K58" i="54"/>
  <c r="Q58" i="54" s="1"/>
  <c r="J58" i="54"/>
  <c r="W57" i="54"/>
  <c r="U57" i="54"/>
  <c r="T57" i="54"/>
  <c r="S57" i="54"/>
  <c r="R57" i="54"/>
  <c r="K57" i="54"/>
  <c r="Q57" i="54" s="1"/>
  <c r="J57" i="54"/>
  <c r="U56" i="54"/>
  <c r="T56" i="54"/>
  <c r="S56" i="54"/>
  <c r="R56" i="54"/>
  <c r="K56" i="54"/>
  <c r="Q56" i="54" s="1"/>
  <c r="J56" i="54"/>
  <c r="AA55" i="54"/>
  <c r="W55" i="54"/>
  <c r="U55" i="54"/>
  <c r="T55" i="54"/>
  <c r="S55" i="54"/>
  <c r="R55" i="54"/>
  <c r="K55" i="54"/>
  <c r="Q55" i="54" s="1"/>
  <c r="J55" i="54"/>
  <c r="AA54" i="54"/>
  <c r="W54" i="54"/>
  <c r="U54" i="54"/>
  <c r="T54" i="54"/>
  <c r="S54" i="54"/>
  <c r="R54" i="54"/>
  <c r="K54" i="54"/>
  <c r="Q54" i="54" s="1"/>
  <c r="J54" i="54"/>
  <c r="U53" i="54"/>
  <c r="S53" i="54"/>
  <c r="R53" i="54"/>
  <c r="J53" i="54"/>
  <c r="U52" i="54"/>
  <c r="T52" i="54"/>
  <c r="S52" i="54"/>
  <c r="J52" i="54"/>
  <c r="U51" i="54"/>
  <c r="T51" i="54"/>
  <c r="S51" i="54"/>
  <c r="J51" i="54"/>
  <c r="U50" i="54"/>
  <c r="T50" i="54"/>
  <c r="S50" i="54"/>
  <c r="U49" i="54"/>
  <c r="T49" i="54"/>
  <c r="S49" i="54"/>
  <c r="AA48" i="54"/>
  <c r="W48" i="54"/>
  <c r="U48" i="54"/>
  <c r="S48" i="54"/>
  <c r="R48" i="54"/>
  <c r="AA47" i="54"/>
  <c r="W47" i="54"/>
  <c r="U47" i="54"/>
  <c r="T47" i="54"/>
  <c r="S47" i="54"/>
  <c r="J47" i="54"/>
  <c r="AA46" i="54"/>
  <c r="W46" i="54"/>
  <c r="U46" i="54"/>
  <c r="T46" i="54"/>
  <c r="S46" i="54"/>
  <c r="J46" i="54"/>
  <c r="W45" i="54"/>
  <c r="U45" i="54"/>
  <c r="T45" i="54"/>
  <c r="S45" i="54"/>
  <c r="AA44" i="54"/>
  <c r="W44" i="54"/>
  <c r="U44" i="54"/>
  <c r="T44" i="54"/>
  <c r="S44" i="54"/>
  <c r="J44" i="54"/>
  <c r="W43" i="54"/>
  <c r="U43" i="54"/>
  <c r="T43" i="54"/>
  <c r="S43" i="54"/>
  <c r="J43" i="54"/>
  <c r="D43" i="54"/>
  <c r="U42" i="54"/>
  <c r="T42" i="54"/>
  <c r="S42" i="54"/>
  <c r="J42" i="54"/>
  <c r="U41" i="54"/>
  <c r="T41" i="54"/>
  <c r="S41" i="54"/>
  <c r="J41" i="54"/>
  <c r="U40" i="54"/>
  <c r="T40" i="54"/>
  <c r="S40" i="54"/>
  <c r="U39" i="54"/>
  <c r="T39" i="54"/>
  <c r="S39" i="54"/>
  <c r="U38" i="54"/>
  <c r="S38" i="54"/>
  <c r="R38" i="54"/>
  <c r="X37" i="54"/>
  <c r="W37" i="54"/>
  <c r="U37" i="54"/>
  <c r="S37" i="54"/>
  <c r="R37" i="54"/>
  <c r="J37" i="54"/>
  <c r="AA36" i="54"/>
  <c r="U36" i="54"/>
  <c r="T36" i="54"/>
  <c r="S36" i="54"/>
  <c r="J36" i="54"/>
  <c r="AA35" i="54"/>
  <c r="W35" i="54"/>
  <c r="U35" i="54"/>
  <c r="T35" i="54"/>
  <c r="S35" i="54"/>
  <c r="J35" i="54"/>
  <c r="AA34" i="54"/>
  <c r="U34" i="54"/>
  <c r="T34" i="54"/>
  <c r="S34" i="54"/>
  <c r="W33" i="54"/>
  <c r="U33" i="54"/>
  <c r="T33" i="54"/>
  <c r="S33" i="54"/>
  <c r="AA32" i="54"/>
  <c r="W32" i="54"/>
  <c r="U32" i="54"/>
  <c r="T32" i="54"/>
  <c r="S32" i="54"/>
  <c r="J32" i="54"/>
  <c r="AA31" i="54"/>
  <c r="W31" i="54"/>
  <c r="U31" i="54"/>
  <c r="T31" i="54"/>
  <c r="S31" i="54"/>
  <c r="W30" i="54"/>
  <c r="U30" i="54"/>
  <c r="T30" i="54"/>
  <c r="S30" i="54"/>
  <c r="J30" i="54"/>
  <c r="D30" i="54"/>
  <c r="AA29" i="54"/>
  <c r="X29" i="54"/>
  <c r="X104" i="54" s="1"/>
  <c r="W29" i="54"/>
  <c r="U29" i="54"/>
  <c r="T29" i="54"/>
  <c r="S29" i="54"/>
  <c r="K29" i="54"/>
  <c r="Q29" i="54" s="1"/>
  <c r="R29" i="54" s="1"/>
  <c r="J29" i="54"/>
  <c r="W28" i="54"/>
  <c r="U28" i="54"/>
  <c r="T28" i="54"/>
  <c r="S28" i="54"/>
  <c r="D28" i="54"/>
  <c r="Z149" i="54" s="1"/>
  <c r="AB149" i="54" s="1"/>
  <c r="AA27" i="54"/>
  <c r="G27" i="54"/>
  <c r="P27" i="54" s="1"/>
  <c r="D26" i="54"/>
  <c r="G26" i="54" s="1"/>
  <c r="P26" i="54" s="1"/>
  <c r="O25" i="54"/>
  <c r="G25" i="54"/>
  <c r="D24" i="54"/>
  <c r="D86" i="54" s="1"/>
  <c r="O23" i="54"/>
  <c r="G23" i="54"/>
  <c r="G22" i="54"/>
  <c r="P22" i="54" s="1"/>
  <c r="G21" i="54"/>
  <c r="P21" i="54" s="1"/>
  <c r="G20" i="54"/>
  <c r="P20" i="54" s="1"/>
  <c r="G19" i="54"/>
  <c r="P19" i="54" s="1"/>
  <c r="G18" i="54"/>
  <c r="P18" i="54" s="1"/>
  <c r="G17" i="54"/>
  <c r="P17" i="54" s="1"/>
  <c r="G16" i="54"/>
  <c r="P16" i="54" s="1"/>
  <c r="G15" i="54"/>
  <c r="P15" i="54" s="1"/>
  <c r="G14" i="54"/>
  <c r="P14" i="54" s="1"/>
  <c r="G13" i="54"/>
  <c r="P13" i="54" s="1"/>
  <c r="AC149" i="51"/>
  <c r="AD149" i="51" s="1"/>
  <c r="AC148" i="51"/>
  <c r="AD148" i="51" s="1"/>
  <c r="AC147" i="51"/>
  <c r="AD147" i="51" s="1"/>
  <c r="AC146" i="51"/>
  <c r="AD146" i="51" s="1"/>
  <c r="Z146" i="51"/>
  <c r="AB146" i="51" s="1"/>
  <c r="AC145" i="51"/>
  <c r="AD145" i="51" s="1"/>
  <c r="Z145" i="51"/>
  <c r="AB145" i="51" s="1"/>
  <c r="AC144" i="51"/>
  <c r="AD144" i="51" s="1"/>
  <c r="AC143" i="51"/>
  <c r="AC150" i="51" s="1"/>
  <c r="AC151" i="51" s="1"/>
  <c r="Y142" i="51"/>
  <c r="W103" i="51"/>
  <c r="U103" i="51"/>
  <c r="T103" i="51"/>
  <c r="S103" i="51"/>
  <c r="R103" i="51"/>
  <c r="Q103" i="51"/>
  <c r="D103" i="51"/>
  <c r="AA102" i="51"/>
  <c r="X102" i="51"/>
  <c r="W102" i="51"/>
  <c r="U102" i="51"/>
  <c r="T102" i="51"/>
  <c r="S102" i="51"/>
  <c r="J102" i="51"/>
  <c r="AA101" i="51"/>
  <c r="U101" i="51"/>
  <c r="T101" i="51"/>
  <c r="S101" i="51"/>
  <c r="J101" i="51"/>
  <c r="AA100" i="51"/>
  <c r="U100" i="51"/>
  <c r="T100" i="51"/>
  <c r="S100" i="51"/>
  <c r="W99" i="51"/>
  <c r="U99" i="51"/>
  <c r="T99" i="51"/>
  <c r="S99" i="51"/>
  <c r="J99" i="51"/>
  <c r="D99" i="51"/>
  <c r="AA98" i="51"/>
  <c r="X98" i="51"/>
  <c r="W98" i="51"/>
  <c r="U98" i="51"/>
  <c r="T98" i="51"/>
  <c r="S98" i="51"/>
  <c r="J98" i="51"/>
  <c r="AA97" i="51"/>
  <c r="W97" i="51"/>
  <c r="U97" i="51"/>
  <c r="T97" i="51"/>
  <c r="S97" i="51"/>
  <c r="J97" i="51"/>
  <c r="W96" i="51"/>
  <c r="U96" i="51"/>
  <c r="T96" i="51"/>
  <c r="S96" i="51"/>
  <c r="R96" i="51"/>
  <c r="J96" i="51"/>
  <c r="W95" i="51"/>
  <c r="U95" i="51"/>
  <c r="T95" i="51"/>
  <c r="S95" i="51"/>
  <c r="J95" i="51"/>
  <c r="AA94" i="51"/>
  <c r="U94" i="51"/>
  <c r="T94" i="51"/>
  <c r="S94" i="51"/>
  <c r="J94" i="51"/>
  <c r="AA93" i="51"/>
  <c r="W93" i="51"/>
  <c r="U93" i="51"/>
  <c r="T93" i="51"/>
  <c r="S93" i="51"/>
  <c r="J93" i="51"/>
  <c r="AA92" i="51"/>
  <c r="W92" i="51"/>
  <c r="U92" i="51"/>
  <c r="T92" i="51"/>
  <c r="S92" i="51"/>
  <c r="J92" i="51"/>
  <c r="W91" i="51"/>
  <c r="U91" i="51"/>
  <c r="T91" i="51"/>
  <c r="S91" i="51"/>
  <c r="J91" i="51"/>
  <c r="W90" i="51"/>
  <c r="U90" i="51"/>
  <c r="T90" i="51"/>
  <c r="S90" i="51"/>
  <c r="J90" i="51"/>
  <c r="W89" i="51"/>
  <c r="U89" i="51"/>
  <c r="T89" i="51"/>
  <c r="S89" i="51"/>
  <c r="D89" i="51"/>
  <c r="K95" i="51" s="1"/>
  <c r="Q95" i="51" s="1"/>
  <c r="R95" i="51" s="1"/>
  <c r="U88" i="51"/>
  <c r="T88" i="51"/>
  <c r="S88" i="51"/>
  <c r="J88" i="51"/>
  <c r="U87" i="51"/>
  <c r="T87" i="51"/>
  <c r="S87" i="51"/>
  <c r="J87" i="51"/>
  <c r="U86" i="51"/>
  <c r="T86" i="51"/>
  <c r="S86" i="51"/>
  <c r="R86" i="51"/>
  <c r="J86" i="51"/>
  <c r="W85" i="51"/>
  <c r="U85" i="51"/>
  <c r="T85" i="51"/>
  <c r="S85" i="51"/>
  <c r="J85" i="51"/>
  <c r="AA84" i="51"/>
  <c r="U84" i="51"/>
  <c r="T84" i="51"/>
  <c r="S84" i="51"/>
  <c r="J84" i="51"/>
  <c r="AA83" i="51"/>
  <c r="W83" i="51"/>
  <c r="U83" i="51"/>
  <c r="T83" i="51"/>
  <c r="S83" i="51"/>
  <c r="J83" i="51"/>
  <c r="AA82" i="51"/>
  <c r="W82" i="51"/>
  <c r="U82" i="51"/>
  <c r="T82" i="51"/>
  <c r="S82" i="51"/>
  <c r="M82" i="51"/>
  <c r="J82" i="51"/>
  <c r="W81" i="51"/>
  <c r="U81" i="51"/>
  <c r="T81" i="51"/>
  <c r="S81" i="51"/>
  <c r="J81" i="51"/>
  <c r="W80" i="51"/>
  <c r="U80" i="51"/>
  <c r="T80" i="51"/>
  <c r="S80" i="51"/>
  <c r="J80" i="51"/>
  <c r="U79" i="51"/>
  <c r="T79" i="51"/>
  <c r="S79" i="51"/>
  <c r="D79" i="51"/>
  <c r="K83" i="51" s="1"/>
  <c r="Q83" i="51" s="1"/>
  <c r="R83" i="51" s="1"/>
  <c r="AA78" i="51"/>
  <c r="X78" i="51"/>
  <c r="W78" i="51"/>
  <c r="U78" i="51"/>
  <c r="T78" i="51"/>
  <c r="S78" i="51"/>
  <c r="R78" i="51"/>
  <c r="J78" i="51"/>
  <c r="AA77" i="51"/>
  <c r="W77" i="51"/>
  <c r="U77" i="51"/>
  <c r="T77" i="51"/>
  <c r="S77" i="51"/>
  <c r="R77" i="51"/>
  <c r="J77" i="51"/>
  <c r="W76" i="51"/>
  <c r="U76" i="51"/>
  <c r="T76" i="51"/>
  <c r="S76" i="51"/>
  <c r="R76" i="51"/>
  <c r="J76" i="51"/>
  <c r="D76" i="51"/>
  <c r="K77" i="51" s="1"/>
  <c r="Q77" i="51" s="1"/>
  <c r="W75" i="51"/>
  <c r="U75" i="51"/>
  <c r="T75" i="51"/>
  <c r="S75" i="51"/>
  <c r="R75" i="51"/>
  <c r="K75" i="51"/>
  <c r="Q75" i="51" s="1"/>
  <c r="J75" i="51"/>
  <c r="AA74" i="51"/>
  <c r="U74" i="51"/>
  <c r="T74" i="51"/>
  <c r="S74" i="51"/>
  <c r="R74" i="51"/>
  <c r="K74" i="51"/>
  <c r="Q74" i="51" s="1"/>
  <c r="J74" i="51"/>
  <c r="AA73" i="51"/>
  <c r="W73" i="51"/>
  <c r="U73" i="51"/>
  <c r="T73" i="51"/>
  <c r="S73" i="51"/>
  <c r="R73" i="51"/>
  <c r="K73" i="51"/>
  <c r="Q73" i="51" s="1"/>
  <c r="J73" i="51"/>
  <c r="AA72" i="51"/>
  <c r="W72" i="51"/>
  <c r="U72" i="51"/>
  <c r="T72" i="51"/>
  <c r="S72" i="51"/>
  <c r="R72" i="51"/>
  <c r="K72" i="51"/>
  <c r="Q72" i="51" s="1"/>
  <c r="J72" i="51"/>
  <c r="W71" i="51"/>
  <c r="U71" i="51"/>
  <c r="T71" i="51"/>
  <c r="S71" i="51"/>
  <c r="R71" i="51"/>
  <c r="K71" i="51"/>
  <c r="Q71" i="51" s="1"/>
  <c r="J71" i="51"/>
  <c r="W70" i="51"/>
  <c r="U70" i="51"/>
  <c r="T70" i="51"/>
  <c r="S70" i="51"/>
  <c r="R70" i="51"/>
  <c r="K70" i="51"/>
  <c r="Q70" i="51" s="1"/>
  <c r="J70" i="51"/>
  <c r="AA69" i="51"/>
  <c r="U69" i="51"/>
  <c r="T69" i="51"/>
  <c r="S69" i="51"/>
  <c r="R69" i="51"/>
  <c r="K69" i="51"/>
  <c r="Q69" i="51" s="1"/>
  <c r="J69" i="51"/>
  <c r="W68" i="51"/>
  <c r="U68" i="51"/>
  <c r="T68" i="51"/>
  <c r="S68" i="51"/>
  <c r="R68" i="51"/>
  <c r="J68" i="51"/>
  <c r="W67" i="51"/>
  <c r="U67" i="51"/>
  <c r="T67" i="51"/>
  <c r="S67" i="51"/>
  <c r="R67" i="51"/>
  <c r="K67" i="51"/>
  <c r="Q67" i="51" s="1"/>
  <c r="J67" i="51"/>
  <c r="W66" i="51"/>
  <c r="U66" i="51"/>
  <c r="T66" i="51"/>
  <c r="S66" i="51"/>
  <c r="R66" i="51"/>
  <c r="K66" i="51"/>
  <c r="Q66" i="51" s="1"/>
  <c r="J66" i="51"/>
  <c r="W65" i="51"/>
  <c r="U65" i="51"/>
  <c r="T65" i="51"/>
  <c r="S65" i="51"/>
  <c r="R65" i="51"/>
  <c r="K65" i="51"/>
  <c r="Q65" i="51" s="1"/>
  <c r="J65" i="51"/>
  <c r="U64" i="51"/>
  <c r="T64" i="51"/>
  <c r="S64" i="51"/>
  <c r="R64" i="51"/>
  <c r="K64" i="51"/>
  <c r="Q64" i="51" s="1"/>
  <c r="J64" i="51"/>
  <c r="W63" i="51"/>
  <c r="U63" i="51"/>
  <c r="T63" i="51"/>
  <c r="S63" i="51"/>
  <c r="R63" i="51"/>
  <c r="K63" i="51"/>
  <c r="Q63" i="51" s="1"/>
  <c r="J63" i="51"/>
  <c r="W62" i="51"/>
  <c r="U62" i="51"/>
  <c r="T62" i="51"/>
  <c r="S62" i="51"/>
  <c r="R62" i="51"/>
  <c r="K62" i="51"/>
  <c r="Q62" i="51" s="1"/>
  <c r="J62" i="51"/>
  <c r="D62" i="51"/>
  <c r="K68" i="51" s="1"/>
  <c r="Q68" i="51" s="1"/>
  <c r="X61" i="51"/>
  <c r="W61" i="51"/>
  <c r="U61" i="51"/>
  <c r="T61" i="51"/>
  <c r="S61" i="51"/>
  <c r="R61" i="51"/>
  <c r="K61" i="51"/>
  <c r="Q61" i="51" s="1"/>
  <c r="J61" i="51"/>
  <c r="AA60" i="51"/>
  <c r="U60" i="51"/>
  <c r="T60" i="51"/>
  <c r="S60" i="51"/>
  <c r="R60" i="51"/>
  <c r="K60" i="51"/>
  <c r="Q60" i="51" s="1"/>
  <c r="J60" i="51"/>
  <c r="AA59" i="51"/>
  <c r="W59" i="51"/>
  <c r="U59" i="51"/>
  <c r="T59" i="51"/>
  <c r="S59" i="51"/>
  <c r="R59" i="51"/>
  <c r="K59" i="51"/>
  <c r="Q59" i="51" s="1"/>
  <c r="J59" i="51"/>
  <c r="AA58" i="51"/>
  <c r="W58" i="51"/>
  <c r="U58" i="51"/>
  <c r="T58" i="51"/>
  <c r="S58" i="51"/>
  <c r="R58" i="51"/>
  <c r="K58" i="51"/>
  <c r="Q58" i="51" s="1"/>
  <c r="J58" i="51"/>
  <c r="W57" i="51"/>
  <c r="U57" i="51"/>
  <c r="T57" i="51"/>
  <c r="S57" i="51"/>
  <c r="R57" i="51"/>
  <c r="K57" i="51"/>
  <c r="Q57" i="51" s="1"/>
  <c r="J57" i="51"/>
  <c r="U56" i="51"/>
  <c r="T56" i="51"/>
  <c r="S56" i="51"/>
  <c r="R56" i="51"/>
  <c r="K56" i="51"/>
  <c r="Q56" i="51" s="1"/>
  <c r="J56" i="51"/>
  <c r="AA55" i="51"/>
  <c r="W55" i="51"/>
  <c r="U55" i="51"/>
  <c r="T55" i="51"/>
  <c r="S55" i="51"/>
  <c r="R55" i="51"/>
  <c r="K55" i="51"/>
  <c r="Q55" i="51" s="1"/>
  <c r="J55" i="51"/>
  <c r="AA54" i="51"/>
  <c r="W54" i="51"/>
  <c r="U54" i="51"/>
  <c r="T54" i="51"/>
  <c r="S54" i="51"/>
  <c r="R54" i="51"/>
  <c r="K54" i="51"/>
  <c r="Q54" i="51" s="1"/>
  <c r="J54" i="51"/>
  <c r="U53" i="51"/>
  <c r="S53" i="51"/>
  <c r="R53" i="51"/>
  <c r="J53" i="51"/>
  <c r="U52" i="51"/>
  <c r="T52" i="51"/>
  <c r="S52" i="51"/>
  <c r="J52" i="51"/>
  <c r="U51" i="51"/>
  <c r="T51" i="51"/>
  <c r="S51" i="51"/>
  <c r="J51" i="51"/>
  <c r="U50" i="51"/>
  <c r="T50" i="51"/>
  <c r="S50" i="51"/>
  <c r="U49" i="51"/>
  <c r="T49" i="51"/>
  <c r="S49" i="51"/>
  <c r="AA48" i="51"/>
  <c r="W48" i="51"/>
  <c r="U48" i="51"/>
  <c r="S48" i="51"/>
  <c r="R48" i="51"/>
  <c r="AA47" i="51"/>
  <c r="W47" i="51"/>
  <c r="U47" i="51"/>
  <c r="T47" i="51"/>
  <c r="S47" i="51"/>
  <c r="J47" i="51"/>
  <c r="AA46" i="51"/>
  <c r="W46" i="51"/>
  <c r="U46" i="51"/>
  <c r="T46" i="51"/>
  <c r="S46" i="51"/>
  <c r="J46" i="51"/>
  <c r="W45" i="51"/>
  <c r="U45" i="51"/>
  <c r="T45" i="51"/>
  <c r="S45" i="51"/>
  <c r="AA44" i="51"/>
  <c r="W44" i="51"/>
  <c r="U44" i="51"/>
  <c r="T44" i="51"/>
  <c r="S44" i="51"/>
  <c r="J44" i="51"/>
  <c r="W43" i="51"/>
  <c r="U43" i="51"/>
  <c r="T43" i="51"/>
  <c r="S43" i="51"/>
  <c r="J43" i="51"/>
  <c r="D43" i="51"/>
  <c r="U42" i="51"/>
  <c r="T42" i="51"/>
  <c r="S42" i="51"/>
  <c r="J42" i="51"/>
  <c r="U41" i="51"/>
  <c r="T41" i="51"/>
  <c r="S41" i="51"/>
  <c r="J41" i="51"/>
  <c r="U40" i="51"/>
  <c r="T40" i="51"/>
  <c r="S40" i="51"/>
  <c r="U39" i="51"/>
  <c r="T39" i="51"/>
  <c r="S39" i="51"/>
  <c r="U38" i="51"/>
  <c r="S38" i="51"/>
  <c r="R38" i="51"/>
  <c r="X37" i="51"/>
  <c r="W37" i="51"/>
  <c r="U37" i="51"/>
  <c r="S37" i="51"/>
  <c r="R37" i="51"/>
  <c r="J37" i="51"/>
  <c r="AA36" i="51"/>
  <c r="U36" i="51"/>
  <c r="T36" i="51"/>
  <c r="S36" i="51"/>
  <c r="J36" i="51"/>
  <c r="AA35" i="51"/>
  <c r="W35" i="51"/>
  <c r="U35" i="51"/>
  <c r="T35" i="51"/>
  <c r="S35" i="51"/>
  <c r="J35" i="51"/>
  <c r="AA34" i="51"/>
  <c r="U34" i="51"/>
  <c r="T34" i="51"/>
  <c r="S34" i="51"/>
  <c r="W33" i="51"/>
  <c r="U33" i="51"/>
  <c r="T33" i="51"/>
  <c r="S33" i="51"/>
  <c r="AA32" i="51"/>
  <c r="W32" i="51"/>
  <c r="U32" i="51"/>
  <c r="T32" i="51"/>
  <c r="S32" i="51"/>
  <c r="J32" i="51"/>
  <c r="AA31" i="51"/>
  <c r="W31" i="51"/>
  <c r="U31" i="51"/>
  <c r="T31" i="51"/>
  <c r="S31" i="51"/>
  <c r="W30" i="51"/>
  <c r="U30" i="51"/>
  <c r="T30" i="51"/>
  <c r="S30" i="51"/>
  <c r="J30" i="51"/>
  <c r="D30" i="51"/>
  <c r="AA29" i="51"/>
  <c r="X29" i="51"/>
  <c r="X104" i="51" s="1"/>
  <c r="W29" i="51"/>
  <c r="U29" i="51"/>
  <c r="T29" i="51"/>
  <c r="S29" i="51"/>
  <c r="K29" i="51"/>
  <c r="Q29" i="51" s="1"/>
  <c r="R29" i="51" s="1"/>
  <c r="J29" i="51"/>
  <c r="W28" i="51"/>
  <c r="U28" i="51"/>
  <c r="T28" i="51"/>
  <c r="S28" i="51"/>
  <c r="D28" i="51"/>
  <c r="Z149" i="51" s="1"/>
  <c r="AB149" i="51" s="1"/>
  <c r="AA27" i="51"/>
  <c r="G27" i="51"/>
  <c r="P27" i="51" s="1"/>
  <c r="D26" i="51"/>
  <c r="G26" i="51" s="1"/>
  <c r="P26" i="51" s="1"/>
  <c r="O25" i="51"/>
  <c r="G25" i="51"/>
  <c r="D24" i="51"/>
  <c r="D86" i="51" s="1"/>
  <c r="O23" i="51"/>
  <c r="G23" i="51"/>
  <c r="G22" i="51"/>
  <c r="P22" i="51" s="1"/>
  <c r="G21" i="51"/>
  <c r="P21" i="51" s="1"/>
  <c r="G20" i="51"/>
  <c r="P20" i="51" s="1"/>
  <c r="G19" i="51"/>
  <c r="P19" i="51" s="1"/>
  <c r="G18" i="51"/>
  <c r="P18" i="51" s="1"/>
  <c r="G17" i="51"/>
  <c r="P17" i="51" s="1"/>
  <c r="G16" i="51"/>
  <c r="P16" i="51" s="1"/>
  <c r="G15" i="51"/>
  <c r="P15" i="51" s="1"/>
  <c r="G14" i="51"/>
  <c r="P14" i="51" s="1"/>
  <c r="G13" i="51"/>
  <c r="P13" i="51" s="1"/>
  <c r="P121" i="56" l="1"/>
  <c r="P25" i="51"/>
  <c r="K50" i="51"/>
  <c r="Q50" i="51" s="1"/>
  <c r="R50" i="51" s="1"/>
  <c r="K49" i="51"/>
  <c r="K46" i="51"/>
  <c r="K42" i="54"/>
  <c r="Q42" i="54" s="1"/>
  <c r="R42" i="54" s="1"/>
  <c r="K40" i="54"/>
  <c r="K39" i="54"/>
  <c r="Q39" i="54" s="1"/>
  <c r="R39" i="54" s="1"/>
  <c r="K31" i="54"/>
  <c r="K100" i="54"/>
  <c r="Q100" i="54" s="1"/>
  <c r="R100" i="54" s="1"/>
  <c r="K42" i="51"/>
  <c r="Q42" i="51" s="1"/>
  <c r="R42" i="51" s="1"/>
  <c r="K39" i="51"/>
  <c r="K40" i="51"/>
  <c r="K31" i="51"/>
  <c r="Z148" i="51"/>
  <c r="AB148" i="51" s="1"/>
  <c r="K100" i="51"/>
  <c r="Q100" i="51" s="1"/>
  <c r="R100" i="51" s="1"/>
  <c r="P25" i="54"/>
  <c r="K50" i="54"/>
  <c r="Q50" i="54" s="1"/>
  <c r="R50" i="54" s="1"/>
  <c r="K49" i="54"/>
  <c r="K46" i="54"/>
  <c r="Q101" i="56"/>
  <c r="R101" i="56" s="1"/>
  <c r="AA26" i="51"/>
  <c r="K76" i="51"/>
  <c r="Q76" i="51" s="1"/>
  <c r="K99" i="51"/>
  <c r="Q99" i="51" s="1"/>
  <c r="R99" i="51" s="1"/>
  <c r="K76" i="54"/>
  <c r="Q76" i="54" s="1"/>
  <c r="F120" i="56"/>
  <c r="D109" i="56"/>
  <c r="D106" i="56"/>
  <c r="D112" i="56" s="1"/>
  <c r="K89" i="51"/>
  <c r="Q89" i="51" s="1"/>
  <c r="R89" i="51" s="1"/>
  <c r="AA76" i="51"/>
  <c r="AB76" i="51" s="1"/>
  <c r="AA99" i="51"/>
  <c r="AA30" i="54"/>
  <c r="K33" i="54"/>
  <c r="Q33" i="54" s="1"/>
  <c r="R33" i="54" s="1"/>
  <c r="AA76" i="54"/>
  <c r="AB76" i="54" s="1"/>
  <c r="Q28" i="56"/>
  <c r="R28" i="56" s="1"/>
  <c r="P23" i="51"/>
  <c r="U104" i="51"/>
  <c r="U118" i="51" s="1"/>
  <c r="G24" i="51"/>
  <c r="P24" i="51" s="1"/>
  <c r="K78" i="51"/>
  <c r="Q78" i="51" s="1"/>
  <c r="K101" i="51"/>
  <c r="K102" i="51" s="1"/>
  <c r="Q102" i="51" s="1"/>
  <c r="R102" i="51" s="1"/>
  <c r="K78" i="54"/>
  <c r="Q78" i="54" s="1"/>
  <c r="R123" i="55"/>
  <c r="D107" i="55"/>
  <c r="D113" i="55" s="1"/>
  <c r="D110" i="55"/>
  <c r="D116" i="56"/>
  <c r="D117" i="56" s="1"/>
  <c r="T104" i="56"/>
  <c r="T118" i="56" s="1"/>
  <c r="T121" i="56" s="1"/>
  <c r="AB150" i="56"/>
  <c r="K86" i="56"/>
  <c r="Q86" i="56" s="1"/>
  <c r="K87" i="56"/>
  <c r="Q87" i="56" s="1"/>
  <c r="R87" i="56" s="1"/>
  <c r="K88" i="56"/>
  <c r="Q88" i="56" s="1"/>
  <c r="R88" i="56" s="1"/>
  <c r="K98" i="56"/>
  <c r="Q98" i="56" s="1"/>
  <c r="R98" i="56" s="1"/>
  <c r="AA96" i="56"/>
  <c r="AB96" i="56" s="1"/>
  <c r="K97" i="56"/>
  <c r="Q97" i="56" s="1"/>
  <c r="R97" i="56" s="1"/>
  <c r="K96" i="56"/>
  <c r="Q96" i="56" s="1"/>
  <c r="K28" i="54"/>
  <c r="M28" i="54" s="1"/>
  <c r="AA28" i="54"/>
  <c r="K89" i="54"/>
  <c r="Q89" i="54" s="1"/>
  <c r="R89" i="54" s="1"/>
  <c r="K101" i="54"/>
  <c r="K102" i="54" s="1"/>
  <c r="Q102" i="54" s="1"/>
  <c r="R102" i="54" s="1"/>
  <c r="P23" i="54"/>
  <c r="G24" i="54"/>
  <c r="P24" i="54" s="1"/>
  <c r="S104" i="54"/>
  <c r="S118" i="54" s="1"/>
  <c r="K44" i="54"/>
  <c r="Q44" i="54" s="1"/>
  <c r="R44" i="54" s="1"/>
  <c r="Q46" i="54"/>
  <c r="R46" i="54" s="1"/>
  <c r="K43" i="54"/>
  <c r="Q43" i="54" s="1"/>
  <c r="R43" i="54" s="1"/>
  <c r="K45" i="54"/>
  <c r="Q45" i="54" s="1"/>
  <c r="R45" i="54" s="1"/>
  <c r="U104" i="54"/>
  <c r="U118" i="54" s="1"/>
  <c r="K32" i="54"/>
  <c r="Q32" i="54" s="1"/>
  <c r="R32" i="54" s="1"/>
  <c r="K86" i="54"/>
  <c r="Q86" i="54" s="1"/>
  <c r="K87" i="54"/>
  <c r="Q87" i="54" s="1"/>
  <c r="R87" i="54" s="1"/>
  <c r="K88" i="54"/>
  <c r="Q88" i="54" s="1"/>
  <c r="R88" i="54" s="1"/>
  <c r="Q28" i="54"/>
  <c r="K35" i="54"/>
  <c r="Q35" i="54" s="1"/>
  <c r="R35" i="54" s="1"/>
  <c r="K41" i="54"/>
  <c r="Q41" i="54" s="1"/>
  <c r="R41" i="54" s="1"/>
  <c r="K53" i="54"/>
  <c r="Q53" i="54" s="1"/>
  <c r="T53" i="54" s="1"/>
  <c r="K79" i="54"/>
  <c r="Q79" i="54" s="1"/>
  <c r="R79" i="54" s="1"/>
  <c r="K84" i="54"/>
  <c r="Q84" i="54" s="1"/>
  <c r="R84" i="54" s="1"/>
  <c r="K90" i="54"/>
  <c r="Q90" i="54" s="1"/>
  <c r="R90" i="54" s="1"/>
  <c r="K91" i="54"/>
  <c r="Q91" i="54" s="1"/>
  <c r="R91" i="54" s="1"/>
  <c r="K92" i="54"/>
  <c r="Q92" i="54" s="1"/>
  <c r="R92" i="54" s="1"/>
  <c r="AD143" i="54"/>
  <c r="AA26" i="54"/>
  <c r="K36" i="54"/>
  <c r="Q36" i="54" s="1"/>
  <c r="R36" i="54" s="1"/>
  <c r="K47" i="54"/>
  <c r="Q47" i="54" s="1"/>
  <c r="R47" i="54" s="1"/>
  <c r="K48" i="54"/>
  <c r="Q48" i="54" s="1"/>
  <c r="T48" i="54" s="1"/>
  <c r="Q49" i="54"/>
  <c r="R49" i="54" s="1"/>
  <c r="K52" i="54"/>
  <c r="Q52" i="54" s="1"/>
  <c r="R52" i="54" s="1"/>
  <c r="K80" i="54"/>
  <c r="Q80" i="54" s="1"/>
  <c r="R80" i="54" s="1"/>
  <c r="K81" i="54"/>
  <c r="Q81" i="54" s="1"/>
  <c r="R81" i="54" s="1"/>
  <c r="K82" i="54"/>
  <c r="Q82" i="54" s="1"/>
  <c r="R82" i="54" s="1"/>
  <c r="K85" i="54"/>
  <c r="Q85" i="54" s="1"/>
  <c r="R85" i="54" s="1"/>
  <c r="K93" i="54"/>
  <c r="Q93" i="54" s="1"/>
  <c r="R93" i="54" s="1"/>
  <c r="AA99" i="54"/>
  <c r="P120" i="54"/>
  <c r="D115" i="54" s="1"/>
  <c r="Z143" i="54"/>
  <c r="AB143" i="54" s="1"/>
  <c r="Z144" i="54"/>
  <c r="AB144" i="54" s="1"/>
  <c r="Z147" i="54"/>
  <c r="AB147" i="54" s="1"/>
  <c r="Z148" i="54"/>
  <c r="AB148" i="54" s="1"/>
  <c r="K37" i="54"/>
  <c r="Q37" i="54" s="1"/>
  <c r="T37" i="54" s="1"/>
  <c r="K38" i="54"/>
  <c r="Q38" i="54" s="1"/>
  <c r="T38" i="54" s="1"/>
  <c r="Q40" i="54"/>
  <c r="R40" i="54" s="1"/>
  <c r="AA43" i="54"/>
  <c r="K51" i="54"/>
  <c r="Q51" i="54" s="1"/>
  <c r="R51" i="54" s="1"/>
  <c r="AA89" i="54"/>
  <c r="K94" i="54"/>
  <c r="Q94" i="54" s="1"/>
  <c r="R94" i="54" s="1"/>
  <c r="D96" i="54"/>
  <c r="K99" i="54"/>
  <c r="Q99" i="54" s="1"/>
  <c r="R99" i="54" s="1"/>
  <c r="K30" i="54"/>
  <c r="Q30" i="54" s="1"/>
  <c r="R30" i="54" s="1"/>
  <c r="Q31" i="54"/>
  <c r="R31" i="54" s="1"/>
  <c r="K34" i="54"/>
  <c r="Q34" i="54" s="1"/>
  <c r="R34" i="54" s="1"/>
  <c r="AA79" i="54"/>
  <c r="S104" i="51"/>
  <c r="S118" i="51" s="1"/>
  <c r="P120" i="51"/>
  <c r="D115" i="51" s="1"/>
  <c r="K86" i="51"/>
  <c r="Q86" i="51" s="1"/>
  <c r="K87" i="51"/>
  <c r="Q87" i="51" s="1"/>
  <c r="R87" i="51" s="1"/>
  <c r="K88" i="51"/>
  <c r="Q88" i="51" s="1"/>
  <c r="R88" i="51" s="1"/>
  <c r="K28" i="51"/>
  <c r="AA28" i="51"/>
  <c r="AA30" i="51"/>
  <c r="K32" i="51"/>
  <c r="Q32" i="51" s="1"/>
  <c r="R32" i="51" s="1"/>
  <c r="K33" i="51"/>
  <c r="Q33" i="51" s="1"/>
  <c r="R33" i="51" s="1"/>
  <c r="K35" i="51"/>
  <c r="Q35" i="51" s="1"/>
  <c r="R35" i="51" s="1"/>
  <c r="Q39" i="51"/>
  <c r="R39" i="51" s="1"/>
  <c r="K41" i="51"/>
  <c r="Q41" i="51" s="1"/>
  <c r="R41" i="51" s="1"/>
  <c r="K44" i="51"/>
  <c r="Q44" i="51" s="1"/>
  <c r="R44" i="51" s="1"/>
  <c r="K45" i="51"/>
  <c r="Q45" i="51" s="1"/>
  <c r="R45" i="51" s="1"/>
  <c r="Q46" i="51"/>
  <c r="R46" i="51" s="1"/>
  <c r="K53" i="51"/>
  <c r="Q53" i="51" s="1"/>
  <c r="T53" i="51" s="1"/>
  <c r="K79" i="51"/>
  <c r="Q79" i="51" s="1"/>
  <c r="R79" i="51" s="1"/>
  <c r="K84" i="51"/>
  <c r="Q84" i="51" s="1"/>
  <c r="R84" i="51" s="1"/>
  <c r="K90" i="51"/>
  <c r="Q90" i="51" s="1"/>
  <c r="R90" i="51" s="1"/>
  <c r="K91" i="51"/>
  <c r="Q91" i="51" s="1"/>
  <c r="R91" i="51" s="1"/>
  <c r="K92" i="51"/>
  <c r="Q92" i="51" s="1"/>
  <c r="R92" i="51" s="1"/>
  <c r="AD143" i="51"/>
  <c r="K36" i="51"/>
  <c r="Q36" i="51" s="1"/>
  <c r="R36" i="51" s="1"/>
  <c r="K47" i="51"/>
  <c r="Q47" i="51" s="1"/>
  <c r="R47" i="51" s="1"/>
  <c r="K48" i="51"/>
  <c r="Q48" i="51" s="1"/>
  <c r="T48" i="51" s="1"/>
  <c r="Q49" i="51"/>
  <c r="R49" i="51" s="1"/>
  <c r="K52" i="51"/>
  <c r="Q52" i="51" s="1"/>
  <c r="R52" i="51" s="1"/>
  <c r="K80" i="51"/>
  <c r="Q80" i="51" s="1"/>
  <c r="R80" i="51" s="1"/>
  <c r="K81" i="51"/>
  <c r="Q81" i="51" s="1"/>
  <c r="R81" i="51" s="1"/>
  <c r="K82" i="51"/>
  <c r="Q82" i="51" s="1"/>
  <c r="R82" i="51" s="1"/>
  <c r="K85" i="51"/>
  <c r="Q85" i="51" s="1"/>
  <c r="R85" i="51" s="1"/>
  <c r="K93" i="51"/>
  <c r="Q93" i="51" s="1"/>
  <c r="R93" i="51" s="1"/>
  <c r="Z143" i="51"/>
  <c r="AB143" i="51" s="1"/>
  <c r="Z144" i="51"/>
  <c r="AB144" i="51" s="1"/>
  <c r="Z147" i="51"/>
  <c r="AB147" i="51" s="1"/>
  <c r="K37" i="51"/>
  <c r="Q37" i="51" s="1"/>
  <c r="T37" i="51" s="1"/>
  <c r="K38" i="51"/>
  <c r="Q38" i="51" s="1"/>
  <c r="T38" i="51" s="1"/>
  <c r="Q40" i="51"/>
  <c r="R40" i="51" s="1"/>
  <c r="AA43" i="51"/>
  <c r="K51" i="51"/>
  <c r="Q51" i="51" s="1"/>
  <c r="R51" i="51" s="1"/>
  <c r="AA89" i="51"/>
  <c r="K94" i="51"/>
  <c r="Q94" i="51" s="1"/>
  <c r="R94" i="51" s="1"/>
  <c r="D96" i="51"/>
  <c r="K30" i="51"/>
  <c r="Q30" i="51" s="1"/>
  <c r="R30" i="51" s="1"/>
  <c r="Q31" i="51"/>
  <c r="R31" i="51" s="1"/>
  <c r="K34" i="51"/>
  <c r="Q34" i="51" s="1"/>
  <c r="R34" i="51" s="1"/>
  <c r="K43" i="51"/>
  <c r="Q43" i="51" s="1"/>
  <c r="R43" i="51" s="1"/>
  <c r="AA79" i="51"/>
  <c r="Q101" i="51" l="1"/>
  <c r="R101" i="51" s="1"/>
  <c r="P118" i="51"/>
  <c r="P121" i="51" s="1"/>
  <c r="D116" i="51" s="1"/>
  <c r="D117" i="51" s="1"/>
  <c r="Q101" i="54"/>
  <c r="R101" i="54" s="1"/>
  <c r="T104" i="54"/>
  <c r="T118" i="54" s="1"/>
  <c r="T121" i="54" s="1"/>
  <c r="T104" i="51"/>
  <c r="T118" i="51" s="1"/>
  <c r="T121" i="51" s="1"/>
  <c r="P118" i="54"/>
  <c r="P121" i="54" s="1"/>
  <c r="D116" i="54" s="1"/>
  <c r="D117" i="54" s="1"/>
  <c r="R120" i="54"/>
  <c r="D109" i="54" s="1"/>
  <c r="F123" i="56"/>
  <c r="Q104" i="56"/>
  <c r="AA104" i="56"/>
  <c r="R104" i="56"/>
  <c r="R118" i="56" s="1"/>
  <c r="R121" i="56" s="1"/>
  <c r="AB150" i="54"/>
  <c r="K98" i="54"/>
  <c r="Q98" i="54" s="1"/>
  <c r="R98" i="54" s="1"/>
  <c r="AA96" i="54"/>
  <c r="AB96" i="54" s="1"/>
  <c r="K97" i="54"/>
  <c r="Q97" i="54" s="1"/>
  <c r="R97" i="54" s="1"/>
  <c r="K96" i="54"/>
  <c r="Q96" i="54" s="1"/>
  <c r="R28" i="54"/>
  <c r="D106" i="54"/>
  <c r="D112" i="54" s="1"/>
  <c r="R120" i="51"/>
  <c r="D106" i="51" s="1"/>
  <c r="D112" i="51" s="1"/>
  <c r="AB150" i="51"/>
  <c r="F123" i="51"/>
  <c r="K98" i="51"/>
  <c r="Q98" i="51" s="1"/>
  <c r="R98" i="51" s="1"/>
  <c r="AA96" i="51"/>
  <c r="AA104" i="51" s="1"/>
  <c r="K97" i="51"/>
  <c r="Q97" i="51" s="1"/>
  <c r="R97" i="51" s="1"/>
  <c r="K96" i="51"/>
  <c r="Q96" i="51" s="1"/>
  <c r="M28" i="51"/>
  <c r="Q28" i="51"/>
  <c r="F123" i="54" l="1"/>
  <c r="F120" i="51"/>
  <c r="D109" i="51"/>
  <c r="F120" i="54"/>
  <c r="R123" i="56"/>
  <c r="D110" i="56"/>
  <c r="D107" i="56"/>
  <c r="D113" i="56" s="1"/>
  <c r="AA104" i="54"/>
  <c r="Q104" i="54"/>
  <c r="R104" i="54"/>
  <c r="R118" i="54" s="1"/>
  <c r="R121" i="54" s="1"/>
  <c r="R28" i="51"/>
  <c r="R104" i="51" s="1"/>
  <c r="R118" i="51" s="1"/>
  <c r="R121" i="51" s="1"/>
  <c r="Q104" i="51"/>
  <c r="AB96" i="51"/>
  <c r="R123" i="54" l="1"/>
  <c r="D110" i="54"/>
  <c r="D107" i="54"/>
  <c r="D113" i="54" s="1"/>
  <c r="D110" i="51"/>
  <c r="D107" i="51"/>
  <c r="D113" i="51" s="1"/>
  <c r="R123" i="51"/>
  <c r="A13" i="29" l="1"/>
  <c r="A12" i="29"/>
  <c r="A11" i="29"/>
  <c r="A10" i="29"/>
  <c r="A9" i="29"/>
  <c r="A8" i="29"/>
  <c r="A7" i="29"/>
  <c r="A6" i="29"/>
  <c r="A5" i="29"/>
  <c r="B6" i="25"/>
  <c r="B7" i="25"/>
  <c r="B8" i="25"/>
  <c r="B9" i="25"/>
  <c r="B10" i="25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B43" i="25"/>
  <c r="B44" i="25"/>
  <c r="B45" i="25"/>
  <c r="B46" i="25"/>
  <c r="B47" i="25"/>
  <c r="B48" i="25"/>
  <c r="B49" i="25"/>
  <c r="B50" i="25"/>
  <c r="B51" i="25"/>
  <c r="B52" i="25"/>
  <c r="B53" i="25"/>
  <c r="B54" i="25"/>
  <c r="B55" i="25"/>
  <c r="B56" i="25"/>
  <c r="B57" i="25"/>
  <c r="B58" i="25"/>
  <c r="B59" i="25"/>
  <c r="B60" i="25"/>
  <c r="A5" i="25"/>
  <c r="A6" i="25"/>
  <c r="H6" i="25" s="1"/>
  <c r="A7" i="25"/>
  <c r="A8" i="25"/>
  <c r="H8" i="25" s="1"/>
  <c r="A9" i="25"/>
  <c r="A10" i="25"/>
  <c r="J10" i="25" s="1"/>
  <c r="A11" i="25"/>
  <c r="G11" i="25" s="1"/>
  <c r="A12" i="25"/>
  <c r="H12" i="25" s="1"/>
  <c r="A13" i="25"/>
  <c r="A14" i="25"/>
  <c r="G14" i="25" s="1"/>
  <c r="A15" i="25"/>
  <c r="J15" i="25" s="1"/>
  <c r="A16" i="25"/>
  <c r="A17" i="25"/>
  <c r="A18" i="25"/>
  <c r="G18" i="25" s="1"/>
  <c r="A19" i="25"/>
  <c r="L19" i="25" s="1"/>
  <c r="A20" i="25"/>
  <c r="E20" i="25" s="1"/>
  <c r="A21" i="25"/>
  <c r="K21" i="25" s="1"/>
  <c r="A22" i="25"/>
  <c r="L22" i="25" s="1"/>
  <c r="A23" i="25"/>
  <c r="A24" i="25"/>
  <c r="J24" i="25" s="1"/>
  <c r="A25" i="25"/>
  <c r="K25" i="25" s="1"/>
  <c r="A26" i="25"/>
  <c r="H26" i="25" s="1"/>
  <c r="A27" i="25"/>
  <c r="G27" i="25" s="1"/>
  <c r="A28" i="25"/>
  <c r="L28" i="25" s="1"/>
  <c r="A29" i="25"/>
  <c r="K29" i="25" s="1"/>
  <c r="A30" i="25"/>
  <c r="L30" i="25" s="1"/>
  <c r="A31" i="25"/>
  <c r="E31" i="25" s="1"/>
  <c r="A32" i="25"/>
  <c r="H32" i="25" s="1"/>
  <c r="A33" i="25"/>
  <c r="G33" i="25" s="1"/>
  <c r="A34" i="25"/>
  <c r="G34" i="25" s="1"/>
  <c r="A35" i="25"/>
  <c r="J35" i="25" s="1"/>
  <c r="A36" i="25"/>
  <c r="H36" i="25" s="1"/>
  <c r="A37" i="25"/>
  <c r="K37" i="25" s="1"/>
  <c r="A38" i="25"/>
  <c r="K38" i="25" s="1"/>
  <c r="A39" i="25"/>
  <c r="A40" i="25"/>
  <c r="K40" i="25" s="1"/>
  <c r="A41" i="25"/>
  <c r="G41" i="25" s="1"/>
  <c r="A42" i="25"/>
  <c r="I42" i="25" s="1"/>
  <c r="A43" i="25"/>
  <c r="A44" i="25"/>
  <c r="A45" i="25"/>
  <c r="E45" i="25" s="1"/>
  <c r="A46" i="25"/>
  <c r="A47" i="25"/>
  <c r="L47" i="25" s="1"/>
  <c r="A48" i="25"/>
  <c r="H48" i="25" s="1"/>
  <c r="A49" i="25"/>
  <c r="K49" i="25" s="1"/>
  <c r="A50" i="25"/>
  <c r="G50" i="25" s="1"/>
  <c r="A51" i="25"/>
  <c r="A52" i="25"/>
  <c r="G52" i="25" s="1"/>
  <c r="A53" i="25"/>
  <c r="A54" i="25"/>
  <c r="A55" i="25"/>
  <c r="A56" i="25"/>
  <c r="G56" i="25" s="1"/>
  <c r="A57" i="25"/>
  <c r="J57" i="25" s="1"/>
  <c r="A58" i="25"/>
  <c r="K58" i="25" s="1"/>
  <c r="A59" i="25"/>
  <c r="A60" i="25"/>
  <c r="H60" i="25" s="1"/>
  <c r="A4" i="25"/>
  <c r="H4" i="25" s="1"/>
  <c r="B5" i="25"/>
  <c r="F21" i="15"/>
  <c r="F22" i="15"/>
  <c r="F23" i="15"/>
  <c r="F24" i="15"/>
  <c r="F20" i="15"/>
  <c r="B4" i="25"/>
  <c r="C5" i="25"/>
  <c r="C15" i="25"/>
  <c r="C20" i="25"/>
  <c r="C23" i="25"/>
  <c r="C24" i="25"/>
  <c r="C25" i="25"/>
  <c r="C26" i="25"/>
  <c r="C36" i="25"/>
  <c r="C41" i="25"/>
  <c r="C42" i="25"/>
  <c r="C43" i="25"/>
  <c r="C44" i="25"/>
  <c r="C49" i="25"/>
  <c r="C50" i="25"/>
  <c r="C51" i="25"/>
  <c r="C53" i="25"/>
  <c r="C54" i="25"/>
  <c r="C57" i="25"/>
  <c r="A61" i="25"/>
  <c r="B61" i="25"/>
  <c r="C61" i="25"/>
  <c r="A62" i="25"/>
  <c r="B62" i="25"/>
  <c r="C62" i="25"/>
  <c r="C2" i="15"/>
  <c r="C4" i="25" s="1"/>
  <c r="C6" i="25"/>
  <c r="C7" i="25"/>
  <c r="C4" i="15"/>
  <c r="C9" i="25"/>
  <c r="C10" i="25"/>
  <c r="C11" i="25"/>
  <c r="C12" i="25"/>
  <c r="C13" i="25"/>
  <c r="C14" i="25"/>
  <c r="C6" i="15"/>
  <c r="C7" i="15"/>
  <c r="C17" i="25" s="1"/>
  <c r="C8" i="15"/>
  <c r="C18" i="25" s="1"/>
  <c r="C9" i="15"/>
  <c r="C19" i="25" s="1"/>
  <c r="C11" i="15"/>
  <c r="C21" i="25" s="1"/>
  <c r="C12" i="15"/>
  <c r="C22" i="25" s="1"/>
  <c r="C17" i="15"/>
  <c r="C27" i="25" s="1"/>
  <c r="C18" i="15"/>
  <c r="C19" i="15"/>
  <c r="C29" i="25"/>
  <c r="C30" i="25"/>
  <c r="C31" i="25"/>
  <c r="C32" i="25"/>
  <c r="C33" i="25"/>
  <c r="C34" i="25"/>
  <c r="C35" i="25"/>
  <c r="C25" i="15"/>
  <c r="C38" i="25"/>
  <c r="C39" i="25"/>
  <c r="C40" i="25"/>
  <c r="C45" i="25"/>
  <c r="C46" i="25"/>
  <c r="C47" i="25"/>
  <c r="C48" i="25"/>
  <c r="C33" i="15"/>
  <c r="C52" i="25" s="1"/>
  <c r="C55" i="25"/>
  <c r="C56" i="25"/>
  <c r="C58" i="25"/>
  <c r="C59" i="25"/>
  <c r="C60" i="25"/>
  <c r="C39" i="15"/>
  <c r="C40" i="15"/>
  <c r="C41" i="15"/>
  <c r="C42" i="15"/>
  <c r="C49" i="15"/>
  <c r="C51" i="15"/>
  <c r="C52" i="15"/>
  <c r="C53" i="15"/>
  <c r="C54" i="15"/>
  <c r="C55" i="15"/>
  <c r="C56" i="15"/>
  <c r="C57" i="15"/>
  <c r="B13" i="29"/>
  <c r="B12" i="29"/>
  <c r="I37" i="25"/>
  <c r="J29" i="25"/>
  <c r="I25" i="25"/>
  <c r="L21" i="25"/>
  <c r="G21" i="25"/>
  <c r="K13" i="25"/>
  <c r="I13" i="25"/>
  <c r="E13" i="25"/>
  <c r="H13" i="25"/>
  <c r="J13" i="25"/>
  <c r="K9" i="25"/>
  <c r="G9" i="25"/>
  <c r="E9" i="25"/>
  <c r="J9" i="25"/>
  <c r="I9" i="25"/>
  <c r="L9" i="25"/>
  <c r="H9" i="25"/>
  <c r="L5" i="25"/>
  <c r="I5" i="25"/>
  <c r="E5" i="25"/>
  <c r="G5" i="25"/>
  <c r="J5" i="25"/>
  <c r="I40" i="25"/>
  <c r="I27" i="25"/>
  <c r="I21" i="25"/>
  <c r="G13" i="25"/>
  <c r="H5" i="25"/>
  <c r="J21" i="25"/>
  <c r="K54" i="25"/>
  <c r="K42" i="25"/>
  <c r="J42" i="25"/>
  <c r="K30" i="25"/>
  <c r="H30" i="25"/>
  <c r="I14" i="25"/>
  <c r="I10" i="25"/>
  <c r="K10" i="25"/>
  <c r="G10" i="25"/>
  <c r="L56" i="25"/>
  <c r="H56" i="25"/>
  <c r="G48" i="25"/>
  <c r="L32" i="25"/>
  <c r="J28" i="25"/>
  <c r="L24" i="25"/>
  <c r="H24" i="25"/>
  <c r="K20" i="25"/>
  <c r="J12" i="25"/>
  <c r="K12" i="25"/>
  <c r="L12" i="25"/>
  <c r="K8" i="25"/>
  <c r="J8" i="25"/>
  <c r="E12" i="25"/>
  <c r="I20" i="25"/>
  <c r="L25" i="25"/>
  <c r="L13" i="25"/>
  <c r="G58" i="25"/>
  <c r="E58" i="25"/>
  <c r="L50" i="25"/>
  <c r="H50" i="25"/>
  <c r="K50" i="25"/>
  <c r="G38" i="25"/>
  <c r="G6" i="25"/>
  <c r="K59" i="25"/>
  <c r="L59" i="25"/>
  <c r="L55" i="25"/>
  <c r="I55" i="25"/>
  <c r="H55" i="25"/>
  <c r="G55" i="25"/>
  <c r="J55" i="25"/>
  <c r="K55" i="25"/>
  <c r="E55" i="25"/>
  <c r="J47" i="25"/>
  <c r="H47" i="25"/>
  <c r="G47" i="25"/>
  <c r="K47" i="25"/>
  <c r="I47" i="25"/>
  <c r="E47" i="25"/>
  <c r="L43" i="25"/>
  <c r="H43" i="25"/>
  <c r="G43" i="25"/>
  <c r="K43" i="25"/>
  <c r="I43" i="25"/>
  <c r="E43" i="25"/>
  <c r="L39" i="25"/>
  <c r="K35" i="25"/>
  <c r="H35" i="25"/>
  <c r="G35" i="25"/>
  <c r="L35" i="25"/>
  <c r="I35" i="25"/>
  <c r="E35" i="25"/>
  <c r="G31" i="25"/>
  <c r="J27" i="25"/>
  <c r="H27" i="25"/>
  <c r="L27" i="25"/>
  <c r="L23" i="25"/>
  <c r="I23" i="25"/>
  <c r="H23" i="25"/>
  <c r="G23" i="25"/>
  <c r="J23" i="25"/>
  <c r="K23" i="25"/>
  <c r="E23" i="25"/>
  <c r="R23" i="25" s="1"/>
  <c r="L15" i="25"/>
  <c r="K15" i="25"/>
  <c r="I59" i="25"/>
  <c r="E32" i="25"/>
  <c r="E24" i="25"/>
  <c r="G24" i="25"/>
  <c r="I48" i="25"/>
  <c r="J56" i="25"/>
  <c r="J43" i="25"/>
  <c r="J37" i="25"/>
  <c r="K5" i="25"/>
  <c r="G19" i="25"/>
  <c r="I28" i="25"/>
  <c r="I49" i="25"/>
  <c r="I33" i="25"/>
  <c r="K26" i="25"/>
  <c r="L33" i="25"/>
  <c r="L17" i="25"/>
  <c r="J11" i="25"/>
  <c r="E15" i="25"/>
  <c r="G15" i="25"/>
  <c r="E19" i="25"/>
  <c r="L11" i="25"/>
  <c r="I15" i="25"/>
  <c r="H15" i="25"/>
  <c r="J19" i="25"/>
  <c r="L26" i="25"/>
  <c r="G28" i="25"/>
  <c r="I17" i="25"/>
  <c r="L7" i="25"/>
  <c r="L29" i="25"/>
  <c r="J7" i="25"/>
  <c r="J17" i="25"/>
  <c r="J22" i="25"/>
  <c r="J52" i="25"/>
  <c r="I7" i="25"/>
  <c r="I22" i="25"/>
  <c r="G30" i="25"/>
  <c r="G17" i="25"/>
  <c r="G8" i="25"/>
  <c r="G16" i="25"/>
  <c r="H28" i="25"/>
  <c r="I16" i="25"/>
  <c r="H46" i="25"/>
  <c r="G7" i="25"/>
  <c r="G22" i="25"/>
  <c r="B8" i="29"/>
  <c r="B9" i="29"/>
  <c r="B11" i="29"/>
  <c r="B6" i="29"/>
  <c r="J16" i="25"/>
  <c r="I19" i="25"/>
  <c r="K39" i="25"/>
  <c r="H21" i="25"/>
  <c r="L16" i="25"/>
  <c r="J59" i="25"/>
  <c r="G59" i="25"/>
  <c r="K22" i="25"/>
  <c r="K19" i="25"/>
  <c r="J36" i="25"/>
  <c r="H19" i="25"/>
  <c r="I51" i="25"/>
  <c r="I30" i="25"/>
  <c r="I8" i="25"/>
  <c r="K7" i="25"/>
  <c r="K16" i="25"/>
  <c r="H16" i="25"/>
  <c r="K4" i="25"/>
  <c r="H22" i="25"/>
  <c r="H59" i="25"/>
  <c r="H40" i="25"/>
  <c r="E59" i="25"/>
  <c r="E38" i="25"/>
  <c r="H52" i="25" l="1"/>
  <c r="L52" i="25"/>
  <c r="H58" i="25"/>
  <c r="E26" i="25"/>
  <c r="J58" i="25"/>
  <c r="G12" i="25"/>
  <c r="I24" i="25"/>
  <c r="K56" i="25"/>
  <c r="L42" i="25"/>
  <c r="H10" i="25"/>
  <c r="E56" i="25"/>
  <c r="J50" i="25"/>
  <c r="I56" i="25"/>
  <c r="G20" i="25"/>
  <c r="L40" i="25"/>
  <c r="L14" i="25"/>
  <c r="J20" i="25"/>
  <c r="G57" i="25"/>
  <c r="L57" i="25"/>
  <c r="K52" i="25"/>
  <c r="H49" i="25"/>
  <c r="G49" i="25"/>
  <c r="H34" i="25"/>
  <c r="I58" i="25"/>
  <c r="E49" i="25"/>
  <c r="R49" i="25" s="1"/>
  <c r="H20" i="25"/>
  <c r="G32" i="25"/>
  <c r="E42" i="25"/>
  <c r="R42" i="25" s="1"/>
  <c r="I45" i="25"/>
  <c r="L49" i="25"/>
  <c r="J49" i="25"/>
  <c r="J41" i="25"/>
  <c r="E57" i="25"/>
  <c r="R57" i="25" s="1"/>
  <c r="K45" i="25"/>
  <c r="K57" i="25"/>
  <c r="I29" i="25"/>
  <c r="J30" i="25"/>
  <c r="I4" i="25"/>
  <c r="J33" i="25"/>
  <c r="I26" i="25"/>
  <c r="G26" i="25"/>
  <c r="K24" i="25"/>
  <c r="I12" i="25"/>
  <c r="G45" i="25"/>
  <c r="J26" i="25"/>
  <c r="I50" i="25"/>
  <c r="L58" i="25"/>
  <c r="J32" i="25"/>
  <c r="H42" i="25"/>
  <c r="L20" i="25"/>
  <c r="K28" i="25"/>
  <c r="K32" i="25"/>
  <c r="I52" i="25"/>
  <c r="E10" i="25"/>
  <c r="L10" i="25"/>
  <c r="G42" i="25"/>
  <c r="L45" i="25"/>
  <c r="J45" i="25"/>
  <c r="I57" i="25"/>
  <c r="H45" i="25"/>
  <c r="H57" i="25"/>
  <c r="R9" i="25"/>
  <c r="J4" i="25"/>
  <c r="K27" i="25"/>
  <c r="L8" i="25"/>
  <c r="R19" i="25"/>
  <c r="R10" i="25"/>
  <c r="R35" i="25"/>
  <c r="E40" i="25"/>
  <c r="E28" i="25"/>
  <c r="R28" i="25" s="1"/>
  <c r="R26" i="25"/>
  <c r="L41" i="25"/>
  <c r="R32" i="25"/>
  <c r="I11" i="25"/>
  <c r="H31" i="25"/>
  <c r="R47" i="25"/>
  <c r="J6" i="25"/>
  <c r="K34" i="25"/>
  <c r="J38" i="25"/>
  <c r="L48" i="25"/>
  <c r="E14" i="25"/>
  <c r="R14" i="25" s="1"/>
  <c r="K14" i="25"/>
  <c r="R5" i="25"/>
  <c r="R13" i="25"/>
  <c r="J25" i="25"/>
  <c r="G37" i="25"/>
  <c r="W64" i="55"/>
  <c r="W94" i="55"/>
  <c r="W56" i="55"/>
  <c r="W74" i="55"/>
  <c r="W84" i="55"/>
  <c r="W84" i="56"/>
  <c r="W64" i="56"/>
  <c r="W94" i="56"/>
  <c r="W74" i="56"/>
  <c r="W56" i="56"/>
  <c r="W94" i="54"/>
  <c r="W64" i="54"/>
  <c r="W64" i="51"/>
  <c r="W56" i="54"/>
  <c r="W74" i="51"/>
  <c r="W84" i="54"/>
  <c r="W74" i="54"/>
  <c r="W84" i="51"/>
  <c r="W94" i="51"/>
  <c r="W56" i="51"/>
  <c r="L37" i="25"/>
  <c r="W101" i="55"/>
  <c r="W101" i="56"/>
  <c r="W101" i="51"/>
  <c r="W101" i="54"/>
  <c r="K36" i="25"/>
  <c r="K18" i="25"/>
  <c r="E41" i="25"/>
  <c r="R41" i="25" s="1"/>
  <c r="I6" i="25"/>
  <c r="H11" i="25"/>
  <c r="J18" i="25"/>
  <c r="E48" i="25"/>
  <c r="R48" i="25" s="1"/>
  <c r="I31" i="25"/>
  <c r="H18" i="25"/>
  <c r="L34" i="25"/>
  <c r="I34" i="25"/>
  <c r="H38" i="25"/>
  <c r="J48" i="25"/>
  <c r="J14" i="25"/>
  <c r="I38" i="25"/>
  <c r="H25" i="25"/>
  <c r="G25" i="25"/>
  <c r="I41" i="25"/>
  <c r="W60" i="55"/>
  <c r="W60" i="56"/>
  <c r="W60" i="51"/>
  <c r="W60" i="54"/>
  <c r="W69" i="55"/>
  <c r="W79" i="55"/>
  <c r="W79" i="56"/>
  <c r="W69" i="56"/>
  <c r="W69" i="54"/>
  <c r="W69" i="51"/>
  <c r="W79" i="54"/>
  <c r="W79" i="51"/>
  <c r="W34" i="55"/>
  <c r="W34" i="56"/>
  <c r="W34" i="51"/>
  <c r="W34" i="54"/>
  <c r="L6" i="25"/>
  <c r="K31" i="25"/>
  <c r="G36" i="25"/>
  <c r="K6" i="25"/>
  <c r="H41" i="25"/>
  <c r="E11" i="25"/>
  <c r="R11" i="25" s="1"/>
  <c r="I36" i="25"/>
  <c r="K11" i="25"/>
  <c r="R56" i="25"/>
  <c r="J31" i="25"/>
  <c r="L31" i="25"/>
  <c r="R43" i="25"/>
  <c r="R55" i="25"/>
  <c r="L18" i="25"/>
  <c r="E34" i="25"/>
  <c r="R34" i="25" s="1"/>
  <c r="J34" i="25"/>
  <c r="L38" i="25"/>
  <c r="E25" i="25"/>
  <c r="K48" i="25"/>
  <c r="H14" i="25"/>
  <c r="I18" i="25"/>
  <c r="K41" i="25"/>
  <c r="C8" i="25"/>
  <c r="C37" i="25"/>
  <c r="W100" i="55"/>
  <c r="W100" i="56"/>
  <c r="W100" i="54"/>
  <c r="W100" i="51"/>
  <c r="C28" i="25"/>
  <c r="W36" i="55"/>
  <c r="W36" i="56"/>
  <c r="W36" i="54"/>
  <c r="W36" i="51"/>
  <c r="R45" i="25"/>
  <c r="L36" i="25"/>
  <c r="E4" i="25"/>
  <c r="R4" i="25" s="1"/>
  <c r="N12" i="25"/>
  <c r="N59" i="25"/>
  <c r="E8" i="25"/>
  <c r="R8" i="25" s="1"/>
  <c r="E33" i="25"/>
  <c r="R33" i="25" s="1"/>
  <c r="F40" i="25"/>
  <c r="R31" i="25"/>
  <c r="R58" i="25"/>
  <c r="R12" i="25"/>
  <c r="N5" i="25"/>
  <c r="R59" i="25"/>
  <c r="N23" i="25"/>
  <c r="R24" i="25"/>
  <c r="H7" i="25"/>
  <c r="J54" i="25"/>
  <c r="I54" i="25"/>
  <c r="G54" i="25"/>
  <c r="L54" i="25"/>
  <c r="J51" i="25"/>
  <c r="K51" i="25"/>
  <c r="H51" i="25"/>
  <c r="E51" i="25"/>
  <c r="L51" i="25"/>
  <c r="G51" i="25"/>
  <c r="C16" i="25"/>
  <c r="E60" i="25"/>
  <c r="I60" i="25"/>
  <c r="G60" i="25"/>
  <c r="J60" i="25"/>
  <c r="K60" i="25"/>
  <c r="L60" i="25"/>
  <c r="E53" i="25"/>
  <c r="R53" i="25" s="1"/>
  <c r="L53" i="25"/>
  <c r="I53" i="25"/>
  <c r="G53" i="25"/>
  <c r="K53" i="25"/>
  <c r="H53" i="25"/>
  <c r="J53" i="25"/>
  <c r="I44" i="25"/>
  <c r="L44" i="25"/>
  <c r="K44" i="25"/>
  <c r="H44" i="25"/>
  <c r="J44" i="25"/>
  <c r="G44" i="25"/>
  <c r="E6" i="25"/>
  <c r="E50" i="25"/>
  <c r="R38" i="25"/>
  <c r="R15" i="25"/>
  <c r="H54" i="25"/>
  <c r="E54" i="25"/>
  <c r="R54" i="25" s="1"/>
  <c r="G46" i="25"/>
  <c r="K46" i="25"/>
  <c r="E46" i="25"/>
  <c r="J46" i="25"/>
  <c r="L46" i="25"/>
  <c r="I46" i="25"/>
  <c r="J39" i="25"/>
  <c r="E39" i="25"/>
  <c r="I39" i="25"/>
  <c r="H39" i="25"/>
  <c r="G39" i="25"/>
  <c r="R20" i="25"/>
  <c r="I32" i="25"/>
  <c r="J40" i="25"/>
  <c r="G40" i="25"/>
  <c r="H17" i="25"/>
  <c r="K17" i="25"/>
  <c r="G29" i="25"/>
  <c r="H29" i="25"/>
  <c r="H33" i="25"/>
  <c r="K33" i="25"/>
  <c r="H37" i="25"/>
  <c r="N38" i="25" l="1"/>
  <c r="R25" i="25"/>
  <c r="R60" i="25"/>
  <c r="N31" i="25"/>
  <c r="E30" i="25"/>
  <c r="R30" i="25" s="1"/>
  <c r="N28" i="25"/>
  <c r="R40" i="25"/>
  <c r="E44" i="25"/>
  <c r="N44" i="25" s="1"/>
  <c r="B5" i="29"/>
  <c r="B23" i="29" s="1"/>
  <c r="R51" i="25"/>
  <c r="E16" i="25"/>
  <c r="R16" i="25" s="1"/>
  <c r="N33" i="25"/>
  <c r="N8" i="25"/>
  <c r="E36" i="25"/>
  <c r="E21" i="25"/>
  <c r="E18" i="25"/>
  <c r="R39" i="25"/>
  <c r="E27" i="25"/>
  <c r="E29" i="25"/>
  <c r="N46" i="25"/>
  <c r="R46" i="25"/>
  <c r="R50" i="25"/>
  <c r="N50" i="25"/>
  <c r="E17" i="25"/>
  <c r="E52" i="25"/>
  <c r="E37" i="25"/>
  <c r="R37" i="25" s="1"/>
  <c r="N6" i="25"/>
  <c r="R6" i="25"/>
  <c r="N30" i="25" l="1"/>
  <c r="R44" i="25"/>
  <c r="E22" i="25"/>
  <c r="R22" i="25" s="1"/>
  <c r="E7" i="25"/>
  <c r="N7" i="25" s="1"/>
  <c r="N16" i="25"/>
  <c r="N21" i="25"/>
  <c r="R21" i="25"/>
  <c r="N36" i="25"/>
  <c r="R36" i="25"/>
  <c r="R27" i="25"/>
  <c r="N27" i="25"/>
  <c r="N29" i="25"/>
  <c r="R29" i="25"/>
  <c r="B7" i="29"/>
  <c r="N52" i="25"/>
  <c r="R52" i="25"/>
  <c r="R17" i="25"/>
  <c r="N17" i="25"/>
  <c r="B10" i="29"/>
  <c r="N18" i="25"/>
  <c r="R18" i="25"/>
  <c r="N22" i="25" l="1"/>
  <c r="R7" i="25"/>
</calcChain>
</file>

<file path=xl/comments1.xml><?xml version="1.0" encoding="utf-8"?>
<comments xmlns="http://schemas.openxmlformats.org/spreadsheetml/2006/main">
  <authors>
    <author>admins</author>
  </authors>
  <commentList>
    <comment ref="I29" authorId="0" shapeId="0">
      <text>
        <r>
          <rPr>
            <b/>
            <sz val="9"/>
            <color indexed="81"/>
            <rFont val="Tahoma"/>
            <family val="2"/>
            <charset val="204"/>
          </rPr>
          <t>по количеству одностоечных опор</t>
        </r>
      </text>
    </comment>
  </commentList>
</comments>
</file>

<file path=xl/comments2.xml><?xml version="1.0" encoding="utf-8"?>
<comments xmlns="http://schemas.openxmlformats.org/spreadsheetml/2006/main">
  <authors>
    <author>admins</author>
  </authors>
  <commentList>
    <comment ref="I29" authorId="0" shapeId="0">
      <text>
        <r>
          <rPr>
            <b/>
            <sz val="9"/>
            <color indexed="81"/>
            <rFont val="Tahoma"/>
            <family val="2"/>
            <charset val="204"/>
          </rPr>
          <t>по количеству одностоечных опор</t>
        </r>
      </text>
    </comment>
  </commentList>
</comments>
</file>

<file path=xl/comments3.xml><?xml version="1.0" encoding="utf-8"?>
<comments xmlns="http://schemas.openxmlformats.org/spreadsheetml/2006/main">
  <authors>
    <author>admins</author>
  </authors>
  <commentList>
    <comment ref="I29" authorId="0" shapeId="0">
      <text>
        <r>
          <rPr>
            <b/>
            <sz val="9"/>
            <color indexed="81"/>
            <rFont val="Tahoma"/>
            <family val="2"/>
            <charset val="204"/>
          </rPr>
          <t>по количеству одностоечных опор</t>
        </r>
      </text>
    </comment>
  </commentList>
</comments>
</file>

<file path=xl/comments4.xml><?xml version="1.0" encoding="utf-8"?>
<comments xmlns="http://schemas.openxmlformats.org/spreadsheetml/2006/main">
  <authors>
    <author>admins</author>
  </authors>
  <commentList>
    <comment ref="I29" authorId="0" shapeId="0">
      <text>
        <r>
          <rPr>
            <b/>
            <sz val="9"/>
            <color indexed="81"/>
            <rFont val="Tahoma"/>
            <family val="2"/>
            <charset val="204"/>
          </rPr>
          <t>по количеству одностоечных опор</t>
        </r>
      </text>
    </comment>
  </commentList>
</comments>
</file>

<file path=xl/sharedStrings.xml><?xml version="1.0" encoding="utf-8"?>
<sst xmlns="http://schemas.openxmlformats.org/spreadsheetml/2006/main" count="2591" uniqueCount="333">
  <si>
    <t>Утверждаю:</t>
  </si>
  <si>
    <t>Дефектная ведомость (ведомость объемов работ)</t>
  </si>
  <si>
    <t>(категория ремонта)</t>
  </si>
  <si>
    <t>Наименование ремонтируемого объекта ( для ВЛ указывать основной материал опор: дерево, бетон, металл)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</si>
  <si>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</si>
  <si>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</si>
  <si>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</si>
  <si>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</si>
  <si>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</si>
  <si>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</si>
  <si>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</si>
  <si>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</si>
  <si>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</si>
  <si>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</si>
  <si>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км</t>
  </si>
  <si>
    <t>шт</t>
  </si>
  <si>
    <t>кг</t>
  </si>
  <si>
    <t xml:space="preserve">       на  капитальный  ремонт</t>
  </si>
  <si>
    <t>Энергоопоры лиственные</t>
  </si>
  <si>
    <t>Изолятор ТФ-20</t>
  </si>
  <si>
    <t>Демонтаж ввода однофазного</t>
  </si>
  <si>
    <t>Монтаж  вводов 1-фаз.</t>
  </si>
  <si>
    <t>Монтаж датчиков ДДМ</t>
  </si>
  <si>
    <t xml:space="preserve">Монтаж ОПН-0.4кВ </t>
  </si>
  <si>
    <t>Демонтаж провода А-35</t>
  </si>
  <si>
    <t>компл</t>
  </si>
  <si>
    <t>км/пр</t>
  </si>
  <si>
    <t>т</t>
  </si>
  <si>
    <t>Крюк КН-18</t>
  </si>
  <si>
    <t>Демонтаж ввода трехфазного</t>
  </si>
  <si>
    <t>Датчик ДДМ</t>
  </si>
  <si>
    <t>повторное использование</t>
  </si>
  <si>
    <t>утиль</t>
  </si>
  <si>
    <t>лом</t>
  </si>
  <si>
    <t>провод А-25</t>
  </si>
  <si>
    <t>провод А-35</t>
  </si>
  <si>
    <t>Зажим анкерный РА 1500</t>
  </si>
  <si>
    <t>Зажим плашечный ПА-2-2 (трехболт.)</t>
  </si>
  <si>
    <t>Анкерный клиновой зажим РА 25*100</t>
  </si>
  <si>
    <t>Зажим аппаратный А2А-120-Т</t>
  </si>
  <si>
    <t>Зажим аппаратный А2А-50-Т</t>
  </si>
  <si>
    <t>Зажим аппаратный А2А-95-Т</t>
  </si>
  <si>
    <t>Зажим натяжной болтовой НБ-2-6 А</t>
  </si>
  <si>
    <t>Зажим прокалывающий ОР-95</t>
  </si>
  <si>
    <t>Зажим соединительный (плашечный) ПС-2-1А</t>
  </si>
  <si>
    <t>Зажим соединительный ПС-2-1</t>
  </si>
  <si>
    <t>КАТАНКА 6,5</t>
  </si>
  <si>
    <t>КРОНШТЕЙН М-10</t>
  </si>
  <si>
    <t>КРУГ СТ. 3 Ф 12</t>
  </si>
  <si>
    <t>КРУГ СТ. 3 Ф 14</t>
  </si>
  <si>
    <t>КРУГ СТ. 3 Ф 16</t>
  </si>
  <si>
    <t>КРЮК КН-18</t>
  </si>
  <si>
    <t>ОПОРА СВ-105 МОМЕНТ 5</t>
  </si>
  <si>
    <t>ПОЛОСА СТАЛЬНАЯ 40Х4</t>
  </si>
  <si>
    <t>ПРИСТАВКИ ПТ43-2</t>
  </si>
  <si>
    <t>Провод медный гибкий ПМГ5 25</t>
  </si>
  <si>
    <t>Провод САМОНЕСУЩ.АЛ.ЖИЛ.ПЭ.ИЗОЛЯЦ БЕЗ НЕСУЩ.ЖИЛ.НАП1КВ  СИП-4 2Х16</t>
  </si>
  <si>
    <t>Провод САМОНЕСУЩ.АЛ.ЖИЛ.ПЭ.ИЗОЛЯЦ БЕЗ НЕСУЩ.ЖИЛ.НАП1КВ  СИП-4 4Х16</t>
  </si>
  <si>
    <t>Провод САМОНЕСУЩ.АЛ.ЖИЛ.ПЭ.ИЗОЛЯЦ С НЕСУЩ.ИЗОЛ.ЖИЛ.НАП1КВ  СИП-2 3Х70+1Х54.6</t>
  </si>
  <si>
    <t>Провод СКРУЧЕННЫЙ ИЗ АЛЮМИНИЕВЫХ ПРОВОЛОК СЕЧЕН.50ММ\2  А 50</t>
  </si>
  <si>
    <t>Уайт-Спирит мелкая фасовка</t>
  </si>
  <si>
    <t>Электрод МР-3C Ф 3 мм</t>
  </si>
  <si>
    <t>Эмаль ПФ-115 мелкая фасовка желтая</t>
  </si>
  <si>
    <t>Эмаль ПФ-115 мелкая фасовка зеленая</t>
  </si>
  <si>
    <t>Эмаль ПФ-115 мелкая фасовка красная</t>
  </si>
  <si>
    <t>Эмаль ПФ-115 мелкая фасовка серая</t>
  </si>
  <si>
    <t>Эмаль ПФ-115 мелкая фасовка черная</t>
  </si>
  <si>
    <t>Зажим поддерживающий PS 2000 (Поддерживающий зажим PS 1500)</t>
  </si>
  <si>
    <t>Провод САМОНЕСУЩ.АЛ.ЖИЛ.ПЭ.ИЗОЛЯЦ С НЕСУЩ.ИЗОЛ.ЖИЛ.НАП1КВ  СИП-2 3Х50+1Х54.6</t>
  </si>
  <si>
    <t xml:space="preserve">Датчик ДДМ Б/У </t>
  </si>
  <si>
    <t>Кабельный ремешок Е-1 180 мм</t>
  </si>
  <si>
    <t>Зажим прокалывающий ОР-6</t>
  </si>
  <si>
    <t>Скрепа С 20</t>
  </si>
  <si>
    <t>упак</t>
  </si>
  <si>
    <t>Лента F20.07</t>
  </si>
  <si>
    <t>Зажим временного заземления ZVZ-481</t>
  </si>
  <si>
    <t>Бандаж  (BIC-15.50)</t>
  </si>
  <si>
    <t>Замена опоры деревянной одностоечной</t>
  </si>
  <si>
    <t>Замена опоры деревянной с подкосом</t>
  </si>
  <si>
    <t>Ремонт повторного заземления нулевого провода на ВЛ-0,4 кВ</t>
  </si>
  <si>
    <t>Замена наружных вводов 0,4 кВ (от опоры до здания) 4 провода</t>
  </si>
  <si>
    <t>Замена наружных вводов 0,4 кВ (от опоры до здания) 2 провода</t>
  </si>
  <si>
    <t>Замена провода вручную на ВЛ-0,4 кВ с применением гидроподъёмника на 1 км в один провод</t>
  </si>
  <si>
    <t>Замена ДДМ</t>
  </si>
  <si>
    <t>ОПОРА СВ105-3.5</t>
  </si>
  <si>
    <t>Комплект промежуточной подвески ES 1500</t>
  </si>
  <si>
    <t>Кронштейн анкерный  CS 10.3</t>
  </si>
  <si>
    <t>Кронштейн анкерный СА25</t>
  </si>
  <si>
    <t>ОГРАНИЧИТЕЛЬ ПЕРЕНАПРЯЖЕНИЯ ОПН типа LVA-450  в комлекте с  зажимом OP-645, ПА-1-1 и медным заземляющим проводником сечением 6 мм2  длиной 1000 мм</t>
  </si>
  <si>
    <t>Бугель NB 20</t>
  </si>
  <si>
    <t>упак/50м</t>
  </si>
  <si>
    <t>Зажим прокалывающий ОР-645</t>
  </si>
  <si>
    <t>Мастика каучуко-битумная гидроизоляционная ВИТ (ведро 15 кг) ТУ 5775-023-87271621-2011</t>
  </si>
  <si>
    <t>упак/100шт</t>
  </si>
  <si>
    <t>Зажим прокалывающий ОР-72</t>
  </si>
  <si>
    <t>Сумм</t>
  </si>
  <si>
    <t xml:space="preserve">Монтаж опоры железобетонной подставной (жилой сектор) </t>
  </si>
  <si>
    <t xml:space="preserve">Монтаж провода СИП4 4х16 до подставной опоры </t>
  </si>
  <si>
    <t>Приставка ПТ-33</t>
  </si>
  <si>
    <t>Замена анкерных деревянных опор на железобетонные типа У-25. 5шт.</t>
  </si>
  <si>
    <t>Замена промежуточных деревянных опор на железобетонные  типа П-25. 6шт.</t>
  </si>
  <si>
    <t>Замена наружнего ввода (опора-здание) в 2 провода ВЛ-04кВ, с демонтожом мантожем датчика ДДМ. 1шт.</t>
  </si>
  <si>
    <t>Ремонт повторных заземлений.</t>
  </si>
  <si>
    <t xml:space="preserve">Замена наружнего ввода (опора-здание) в 4 провода ВЛ-04кВ, с демонтожом мантожем датчика ДДМ. </t>
  </si>
  <si>
    <t xml:space="preserve">Монтаж ОПН 0,4кВ </t>
  </si>
  <si>
    <t>Замена голого провода  на провод СИП.</t>
  </si>
  <si>
    <t>Материаллы</t>
  </si>
  <si>
    <t>ТМЦ</t>
  </si>
  <si>
    <t>Краска-спрей черная 0,52 мл</t>
  </si>
  <si>
    <t>Краска-спрей зеленая 0,52 мл</t>
  </si>
  <si>
    <t>Краска-спрей красная 0,52 мл</t>
  </si>
  <si>
    <t>Краска-спрей желтая 0,52 мл</t>
  </si>
  <si>
    <t>л</t>
  </si>
  <si>
    <t>Провод САМОНЕСУЩ.АЛ.ЖИЛ.ПЭ.ИЗОЛЯЦ БЕЗ НЕСУЩ.ЖИЛ.НАП1КВ  СИП-4 4Х16 Б/У</t>
  </si>
  <si>
    <t>Провод САМОНЕСУЩ.АЛ.ЖИЛ.ПЭ.ИЗОЛЯЦ БЕЗ НЕСУЩ.ЖИЛ.НАП1КВ  СИП-4 2Х16 Б/У</t>
  </si>
  <si>
    <t>Провод САМОНЕСУЩ.АЛ.ЖИЛ.ПЭ.ИЗОЛЯЦ С НЕСУЩ.ИЗОЛ.ЖИЛ.НАП1КВ  СИП-2 3Х50+1Х54.6 Б/У</t>
  </si>
  <si>
    <t>трудозатраты</t>
  </si>
  <si>
    <t>Демонтаж датчиков ДДМ</t>
  </si>
  <si>
    <t xml:space="preserve"> Гороховский  участок ВЛ-0,4 кВ 2022</t>
  </si>
  <si>
    <t>Ф-1 582</t>
  </si>
  <si>
    <t>май</t>
  </si>
  <si>
    <t>июль</t>
  </si>
  <si>
    <t>Ф-1 591</t>
  </si>
  <si>
    <t>Ф-2 881</t>
  </si>
  <si>
    <t>август</t>
  </si>
  <si>
    <t>Ф-2 624</t>
  </si>
  <si>
    <t>Ф-2 593</t>
  </si>
  <si>
    <t>Ф-1 583</t>
  </si>
  <si>
    <t>сентябрь</t>
  </si>
  <si>
    <t>Ф-1 611</t>
  </si>
  <si>
    <t>Начальник СЛЭП</t>
  </si>
  <si>
    <t>Ф.И. Доронин</t>
  </si>
  <si>
    <t xml:space="preserve">Инженер СЛЭП </t>
  </si>
  <si>
    <t>Д.В. Вологдин</t>
  </si>
  <si>
    <t>Начальник Оекского РЭС</t>
  </si>
  <si>
    <t>В.В. Кикоть</t>
  </si>
  <si>
    <t>Мастер Гороховского СУ</t>
  </si>
  <si>
    <t>А.В. Ржендинский</t>
  </si>
  <si>
    <t>Зам. Главного инженера по Р и Э</t>
  </si>
  <si>
    <t>С.Н. Адушинов</t>
  </si>
  <si>
    <t xml:space="preserve">Ивн. № </t>
  </si>
  <si>
    <t>заказчик</t>
  </si>
  <si>
    <t>подрядчик</t>
  </si>
  <si>
    <t xml:space="preserve">Демонтаж опор ВЛ 0,4 кВ: без приставок одностоечных с подкосом (населёная местность) </t>
  </si>
  <si>
    <t>м3</t>
  </si>
  <si>
    <t xml:space="preserve">Демонтаж опор ВЛ 0,4 кВ без приставок одностоечные (населёная местность) </t>
  </si>
  <si>
    <t xml:space="preserve">Демонтаж опор ВЛ 0,4 кВ на Ж/б приставке одностоечных (населёная местность) </t>
  </si>
  <si>
    <t>Погрузка изделий из сбоного железобетона массой до 3т</t>
  </si>
  <si>
    <t>Погрузочные работы при автомобильных перевозках: изделий металлических</t>
  </si>
  <si>
    <t>Разгрузка изделий из сборного железобетона массой до 3т</t>
  </si>
  <si>
    <t>Разгрузочные работы при автомобильных перевозках: изделий металлических</t>
  </si>
  <si>
    <t>Работы по погрузке</t>
  </si>
  <si>
    <t>Перевозка</t>
  </si>
  <si>
    <t>Вывозка мусора с объекта проведения работ до базы РЭС</t>
  </si>
  <si>
    <t>Погрузочные работы при автомобильных перевозках: прочих материалов, деталей (с использованием погрузчика)</t>
  </si>
  <si>
    <t>Погрузочные работы при автомобильных перевозках:мусора строительного с погрузкой вручную</t>
  </si>
  <si>
    <t>1т</t>
  </si>
  <si>
    <t>Доставка стоек со склада РЭС.</t>
  </si>
  <si>
    <t>Расстояние от РЭС до объекта</t>
  </si>
  <si>
    <t>Вес давальческих материалов</t>
  </si>
  <si>
    <t>Вес утилизируемых материалов</t>
  </si>
  <si>
    <t>Измерение сопротивления контура заземления</t>
  </si>
  <si>
    <t>ВЕС В кг</t>
  </si>
  <si>
    <t xml:space="preserve"> КЛАСС ГРУЗА</t>
  </si>
  <si>
    <t>Перевод в кг (кг/м3; кг/шт.)</t>
  </si>
  <si>
    <t xml:space="preserve">Итого на 1 ед </t>
  </si>
  <si>
    <t>КЛАСС ГРУЗА</t>
  </si>
  <si>
    <t>мусор</t>
  </si>
  <si>
    <t>мат-лы</t>
  </si>
  <si>
    <t>Крепление подкоса У1</t>
  </si>
  <si>
    <t>м</t>
  </si>
  <si>
    <t>упак, 50м</t>
  </si>
  <si>
    <t xml:space="preserve">стойки </t>
  </si>
  <si>
    <t>прочее</t>
  </si>
  <si>
    <t>Краска МА 15</t>
  </si>
  <si>
    <t>Итого</t>
  </si>
  <si>
    <t>лес/ЖБ</t>
  </si>
  <si>
    <t>"ВЛ-04кВ  от  КТП-582,583  на Тихонову Падь" (дисп. Наименование ВЛ-0,4кВ от КТП-583/160 фидер № 1)</t>
  </si>
  <si>
    <t>поставила другие формулы</t>
  </si>
  <si>
    <t>Вес ПТ-33-3 -- 250 кг</t>
  </si>
  <si>
    <t>Поменяла: расход в метрах, формула: объём*15 (длина)*2(количество спусков). Перевод в кг - 68 кг -вес 1000 м провода, у нас провод в метрах, вес берём за метр - 0,068 кг</t>
  </si>
  <si>
    <t>Поменяла: расход в метрах, формула: объём*15 (длина)*4(количество спусков). Перевод в кг - 68 кг -вес 1000 м провода, у нас провод в метрах, вес берём за метр - 0,068 кг</t>
  </si>
  <si>
    <t>Поменяла: расход в км, формула: =объём. Перевод в кг - 94 кг -вес 1 км провода, у нас провод в км, вес так и оставляем.</t>
  </si>
  <si>
    <t>Провод СИП-2 3х70+1х54,6: Характеристики, вес, диаметр, ток по ГОСТ (k-ps.ru)</t>
  </si>
  <si>
    <t>Монтаж провода СИП-2 3х70+1х54,6</t>
  </si>
  <si>
    <t>вес провода 1092,67, ссылка рядом.</t>
  </si>
  <si>
    <t>Одинаковый вес</t>
  </si>
  <si>
    <t>2. Транспортировка</t>
  </si>
  <si>
    <t>2</t>
  </si>
  <si>
    <t>2.1</t>
  </si>
  <si>
    <t>2.2</t>
  </si>
  <si>
    <t>3</t>
  </si>
  <si>
    <t>4</t>
  </si>
  <si>
    <t>1</t>
  </si>
  <si>
    <t>2.3</t>
  </si>
  <si>
    <t>5</t>
  </si>
  <si>
    <t>6</t>
  </si>
  <si>
    <t>2.4</t>
  </si>
  <si>
    <t>7</t>
  </si>
  <si>
    <t>8</t>
  </si>
  <si>
    <t>9</t>
  </si>
  <si>
    <t>"__"___________2022г.</t>
  </si>
  <si>
    <t>Монтаж  вводов однофазных</t>
  </si>
  <si>
    <t>Монтаж  вводов трёхфазных</t>
  </si>
  <si>
    <t>Работы по разгрузке</t>
  </si>
  <si>
    <t>"ВЛ-04кВ  от  КТП-596 на Степановку</t>
  </si>
  <si>
    <t xml:space="preserve">"ВЛ-04кВ от КТП-610/100 Ф№2 Сайгуты </t>
  </si>
  <si>
    <t xml:space="preserve">"ВЛ-04кВ от КТП-612/100 Ф№2 Сайгуты </t>
  </si>
  <si>
    <t>повт. исп.</t>
  </si>
  <si>
    <t>Установка железобетонных опор для совместной подвески проводов ВЛ 0,4 кВ без приставок: одностоечных с одним подкосом (населёная местность)</t>
  </si>
  <si>
    <t>Установка железобетонных опор для совместной подвески проводов ВЛ 0,4 кВ без приставок: одностоечных (населёная местность)</t>
  </si>
  <si>
    <t>Срок выполнения работ: ноябрь 2022г.</t>
  </si>
  <si>
    <r>
      <t xml:space="preserve">* В соответствии с Методикой определения сметной стоимости строительства... приказ №421/пр от 04.08.2020 г. п. 88. Сметная цена материальных ресурсов и оборудования учитывает затраты, связанные с их приобретением (в том числе стоимость тары, упаковки, реквизита (при наличии таковых), ... заготовительно-складские расходы, стоимость их перевозки, и определяется на основании расчета в соответствии со сметными нормативами, сведения о которых включены в ФРСН. и п.92 При перевозке грузов для строительства на расстояние свыше 30 километров, учтенных ФССЦ (по части территории субъекта Российской Федерации, в которой расположен объект строительства). 
</t>
    </r>
    <r>
      <rPr>
        <b/>
        <sz val="10"/>
        <rFont val="Arial Cyr"/>
        <charset val="204"/>
      </rPr>
      <t xml:space="preserve"> Перевозка в пределах 30 км учтена в стоимости материалов и оборудования. </t>
    </r>
    <r>
      <rPr>
        <sz val="10"/>
        <rFont val="Arial Cyr"/>
        <charset val="204"/>
      </rPr>
      <t>В расчёт принимается перевозка материалов заказчика.</t>
    </r>
  </si>
  <si>
    <t>Расстояние от Иркутска до объекта проводения работ*</t>
  </si>
  <si>
    <t>1 опора</t>
  </si>
  <si>
    <t>-</t>
  </si>
  <si>
    <t>Стойка опоры СВ 105</t>
  </si>
  <si>
    <t>шт.</t>
  </si>
  <si>
    <t>заказчик - ВЭС</t>
  </si>
  <si>
    <t>Траверсы стальные ТН-2</t>
  </si>
  <si>
    <t>Хомуты стальные Х-12</t>
  </si>
  <si>
    <t>Сталь круглая, марка Ст3пс размером 12 мм</t>
  </si>
  <si>
    <t>Зажим соединительный плашечный ПС-2-1</t>
  </si>
  <si>
    <t>1 контур</t>
  </si>
  <si>
    <t>Снятие, восстановление вводов в здание</t>
  </si>
  <si>
    <t>1 ответвление</t>
  </si>
  <si>
    <t>Ввод однофазный</t>
  </si>
  <si>
    <t>компл.</t>
  </si>
  <si>
    <t>повт.исп.</t>
  </si>
  <si>
    <t>Устройство ответвлений от ВЛ 0,4 кВ к зданиям: с помощью механизмов при количестве проводов в ответвлении 2  (обратный монтаж)</t>
  </si>
  <si>
    <t>Зажим N 640</t>
  </si>
  <si>
    <t>Ввод трёхфазный</t>
  </si>
  <si>
    <t>Устройство ответвлений от ВЛ 0,4 кВ к зданиям: с помощью механизмов при количестве проводов в ответвлении 4  (обратный монтаж)</t>
  </si>
  <si>
    <t>Установка железобетонных опор ВЛ 0,4 кВ с траверсами без приставок: одностоечных</t>
  </si>
  <si>
    <t>Установка железобетонных опор ВЛ 0,4 кВ с траверсами без приставок: одностоечных с одним подкосом</t>
  </si>
  <si>
    <t>Гидроизоляция боковая обмазочная битумная в 2 слоя по бетону</t>
  </si>
  <si>
    <t>м2</t>
  </si>
  <si>
    <t>Хомуты стальные Х-10</t>
  </si>
  <si>
    <t>Демонтаж прибора измерения и защиты, количество отключаемых концов: до 2</t>
  </si>
  <si>
    <t>ЖБ всего</t>
  </si>
  <si>
    <t>Снятие ответвлений ВЛ 0,4 кВ к зданиям при количестве проводов в ответвлении: 2</t>
  </si>
  <si>
    <t>Снятие ответвлений ВЛ 0,4 кВ к зданиям при количестве проводов в ответвлении: 4</t>
  </si>
  <si>
    <t>Прибор измерения и защиты, количество подключаемых концов: до 2</t>
  </si>
  <si>
    <t>Снятие, обратная установка датчиков ДДМ</t>
  </si>
  <si>
    <t>Сталь круглая, марка Ст3пс размером 16 мм</t>
  </si>
  <si>
    <t>Подвеска изолированных проводов ВЛ 0,4 кВ с помощью механизмов</t>
  </si>
  <si>
    <t xml:space="preserve">Демонтаж опор ВЛ 0,4 кВ: без приставок одностоечных (населёная местность) </t>
  </si>
  <si>
    <t>Установка железобетонных опор ВЛ 0,4 кВ с траверсами без приставок: одностоечных с двумя подкосами</t>
  </si>
  <si>
    <t>Зажим ответвительный ОР 645</t>
  </si>
  <si>
    <t>Срок выполнения работ: ноябрь 2023г.</t>
  </si>
  <si>
    <t>1 опора (4 провод)</t>
  </si>
  <si>
    <t>Снятие неизолированных проводов ВЛ 0,4 кВ с помощью механизмов, с несколькими жилами</t>
  </si>
  <si>
    <t>Провод А-35</t>
  </si>
  <si>
    <t>В. В. Кикоть</t>
  </si>
  <si>
    <t>Начальник Оёкского РЭС</t>
  </si>
  <si>
    <t>Мастер Оёкского СУ</t>
  </si>
  <si>
    <t>В. В. Карплюк</t>
  </si>
  <si>
    <t>"ВЛ-04кВ  от  КТП-8-561 на Байдоново" (дисп. Наименование ВЛ-0,4кВ от КТП-8-561/100 фидер №2)</t>
  </si>
  <si>
    <t>"ВЛ-04кВ  от  КТП-8-561 на Байдоново" (дисп. Наименование ВЛ-0,4кВ от КТП-8-561/100 фидер № 1)</t>
  </si>
  <si>
    <t>Колпачок КП-18</t>
  </si>
  <si>
    <t>Проволка из алюминия 3 мм</t>
  </si>
  <si>
    <t>Перевозка грузов автомобилями бортовыми грузоподъемностью до 15т, на расстояние до 480 км I класс груза</t>
  </si>
  <si>
    <t>Перевозка строительного мусора автомобилями-самосвалами  грузоподъемностью до 10т, на расстояние до 6 км I класс груза</t>
  </si>
  <si>
    <t>Перевозка грузов автомобилями бортовыми грузоподъемностью до 15т, на расстояние до 480 км I класс груза Итог</t>
  </si>
  <si>
    <t>Перевозка строительного мусора автомобилями-самосвалами  грузоподъемностью до 10т, на расстояние до 6 км I класс груза Итог</t>
  </si>
  <si>
    <t>Погрузка изделий из сбоного железобетона массой до 3т Итог</t>
  </si>
  <si>
    <t>Погрузочные работы при автомобильных перевозках: изделий металлических Итог</t>
  </si>
  <si>
    <t>Погрузочные работы при автомобильных перевозках: прочих материалов, деталей (с использованием погрузчика) Итог</t>
  </si>
  <si>
    <t>Погрузочные работы при автомобильных перевозках:мусора строительного с погрузкой вручную Итог</t>
  </si>
  <si>
    <t>Разгрузка изделий из сборного железобетона массой до 3т Итог</t>
  </si>
  <si>
    <t>Разгрузочные работы при автомобильных перевозках: изделий металлических Итог</t>
  </si>
  <si>
    <t>Общий итог</t>
  </si>
  <si>
    <t>Ввод однофазный Итог</t>
  </si>
  <si>
    <t>Ввод трёхфазный Итог</t>
  </si>
  <si>
    <t>Датчик ДДМ Итог</t>
  </si>
  <si>
    <t>Зажим N 640 Итог</t>
  </si>
  <si>
    <t>Зажим ответвительный ОР 645 Итог</t>
  </si>
  <si>
    <t>Зажим соединительный плашечный ПС-2-1 Итог</t>
  </si>
  <si>
    <t>Изолятор ТФ-20 Итог</t>
  </si>
  <si>
    <t>Колпачок КП-18 Итог</t>
  </si>
  <si>
    <t>Краска МА 15 Итог</t>
  </si>
  <si>
    <t>Крепление подкоса У1 Итог</t>
  </si>
  <si>
    <t>Мастика каучуко-битумная гидроизоляционная ВИТ (ведро 15 кг) ТУ 5775-023-87271621-2011 Итог</t>
  </si>
  <si>
    <t>Провод А-35 Итог</t>
  </si>
  <si>
    <t>Проволка из алюминия 3 мм Итог</t>
  </si>
  <si>
    <t>Сталь круглая, марка Ст3пс размером 12 мм Итог</t>
  </si>
  <si>
    <t>Стойка опоры СВ 105 Итог</t>
  </si>
  <si>
    <t>Траверсы стальные ТН-2 Итог</t>
  </si>
  <si>
    <t>Хомуты стальные Х-10 Итог</t>
  </si>
  <si>
    <t>Хомуты стальные Х-12 Итог</t>
  </si>
  <si>
    <t>05.1.02.07-0072</t>
  </si>
  <si>
    <t>08.3.04.02-0068</t>
  </si>
  <si>
    <t>Сталь круглая и квадратная, марка: Ст3пс размером 12х12 мм</t>
  </si>
  <si>
    <t>10.1.02.03-0002</t>
  </si>
  <si>
    <t>Проволока алюминиевая, диаметр 3 мм</t>
  </si>
  <si>
    <t>1000 м</t>
  </si>
  <si>
    <t>14.4.02.04-0015</t>
  </si>
  <si>
    <t>Краска масляная для внутренних работ МА-015, черная густотертая</t>
  </si>
  <si>
    <t>20.1.01.08-0013</t>
  </si>
  <si>
    <t>Зажим ответвительный с прокалыванием изоляции (СИП): N 640</t>
  </si>
  <si>
    <t>100 шт</t>
  </si>
  <si>
    <t>20.1.01.08-0014</t>
  </si>
  <si>
    <t>Зажим ответвительный с прокалыванием изоляции (СИП): P 645</t>
  </si>
  <si>
    <t>100 шт.</t>
  </si>
  <si>
    <t>20.2.02.04-0006</t>
  </si>
  <si>
    <t>Колпачки полиэтиленовые</t>
  </si>
  <si>
    <t>ТД ЕСЭ № 820201670000</t>
  </si>
  <si>
    <t>Хомут Х-12</t>
  </si>
  <si>
    <t>ТД ЕСЭ № 820225370000</t>
  </si>
  <si>
    <t>КРОНШТЕЙН У-1</t>
  </si>
  <si>
    <t>ТД ЕСЭ № А24800160000</t>
  </si>
  <si>
    <t>Мастика каучуко-битумная гидроизоляционная ТУ 5775-023-87271621-2011, кг</t>
  </si>
  <si>
    <t>ТД ЕСЭ № АС1200260000</t>
  </si>
  <si>
    <t>Зажим соединительный: плашечный ПС-2-1</t>
  </si>
  <si>
    <t>ТД ЕСЭ № ЛД0700160000</t>
  </si>
  <si>
    <t>Траверса ТН-2</t>
  </si>
  <si>
    <t>ТД ЕСЭ № ЛД0700170000</t>
  </si>
  <si>
    <t>Хомут Х-10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</si>
  <si>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</t>
  </si>
  <si>
    <t>1 т груза</t>
  </si>
  <si>
    <t>Погрузо-разгрузочные работы при автомобильных перевозках: Погрузка изделий металлических</t>
  </si>
  <si>
    <t>Погрузо-разгрузочные работы при автомобильных перевозках: Погрузка прочих материалов, деталей (с использованием погрузчика)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</si>
  <si>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</t>
  </si>
  <si>
    <t>Погрузо-разгрузочные работы при автомобильных перевозках: Разгрузка изделий металлических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</si>
  <si>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</si>
  <si>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 бортовыми грузоподъемностью до 15 т на расстояние: I класс груза до 200 км</t>
  </si>
  <si>
    <t>Свыше 200 км добавлять на каждый последующий 1 км: I класс груза</t>
  </si>
  <si>
    <t>Перевозка мусора строительного автомобилями-самосвалами грузоподъемностью 10 т работающих вне карьера на расстояние: I класс груза до 6 км</t>
  </si>
  <si>
    <t>0,186</t>
  </si>
  <si>
    <t>Погрузка изделий из сборного железобетона массой до 3т</t>
  </si>
  <si>
    <t>Главный инженер</t>
  </si>
  <si>
    <t>"__"___________2023 г.</t>
  </si>
  <si>
    <t>_____________________Ю.А. Ивайловский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</si>
</sst>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_р_._-;\-* #,##0.00_р_._-;_-* &quot;-&quot;??_р_._-;_-@_-"/>
    <numFmt numFmtId="165" formatCode="0.0"/>
    <numFmt numFmtId="166" formatCode="0.000"/>
    <numFmt numFmtId="167" formatCode="#,##0&quot;р.&quot;"/>
    <numFmt numFmtId="168" formatCode="#,##0.00_р_."/>
    <numFmt numFmtId="169" formatCode="#,##0\ _₽"/>
    <numFmt numFmtId="170" formatCode="#,##0.0"/>
    <numFmt numFmtId="171" formatCode="_-* #,##0\ _F_-;\-* #,##0\ _F_-;_-* &quot;-&quot;\ _F_-;_-@_-"/>
    <numFmt numFmtId="172" formatCode="_-* #,##0.00\ _F_-;\-* #,##0.00\ _F_-;_-* &quot;-&quot;??\ _F_-;_-@_-"/>
    <numFmt numFmtId="173" formatCode="[$-FC19]dd\ mmmm\ yyyy\ \г\.;@"/>
    <numFmt numFmtId="174" formatCode="[$-419]mmmm\ yyyy;@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12"/>
      <name val="Arial Cyr"/>
      <family val="2"/>
      <charset val="204"/>
    </font>
    <font>
      <sz val="14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 Cyr"/>
      <charset val="204"/>
    </font>
    <font>
      <b/>
      <sz val="8"/>
      <name val="Arial"/>
      <family val="2"/>
      <charset val="204"/>
    </font>
    <font>
      <sz val="8"/>
      <color indexed="8"/>
      <name val="Arial"/>
      <family val="2"/>
    </font>
    <font>
      <b/>
      <sz val="12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u/>
      <sz val="10"/>
      <color theme="10"/>
      <name val="Arial Cyr"/>
      <charset val="204"/>
    </font>
    <font>
      <b/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8"/>
      <name val="Helvetica-Narrow"/>
    </font>
    <font>
      <sz val="14"/>
      <color indexed="8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u/>
      <sz val="10"/>
      <color indexed="12"/>
      <name val="Arial Cyr"/>
      <charset val="204"/>
    </font>
    <font>
      <sz val="12"/>
      <name val="Arial Cyr"/>
      <charset val="204"/>
    </font>
    <font>
      <sz val="12"/>
      <color indexed="12"/>
      <name val="Arial Cyr"/>
      <charset val="204"/>
    </font>
    <font>
      <sz val="12"/>
      <color theme="0" tint="-0.34998626667073579"/>
      <name val="Arial Cyr"/>
      <charset val="204"/>
    </font>
    <font>
      <sz val="10"/>
      <color theme="0" tint="-0.34998626667073579"/>
      <name val="Arial Cyr"/>
      <charset val="204"/>
    </font>
    <font>
      <sz val="10"/>
      <color theme="0" tint="-0.34998626667073579"/>
      <name val="Times New Roman"/>
      <family val="1"/>
    </font>
    <font>
      <b/>
      <sz val="11"/>
      <color theme="0" tint="-0.34998626667073579"/>
      <name val="Arial Cyr"/>
      <charset val="204"/>
    </font>
    <font>
      <sz val="10"/>
      <color theme="0" tint="-0.34998626667073579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3">
    <xf numFmtId="0" fontId="0" fillId="0" borderId="0"/>
    <xf numFmtId="0" fontId="12" fillId="0" borderId="1">
      <alignment horizontal="center" wrapText="1"/>
    </xf>
    <xf numFmtId="9" fontId="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2" fillId="0" borderId="1">
      <alignment horizontal="center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12" fillId="0" borderId="1">
      <alignment horizontal="center"/>
    </xf>
    <xf numFmtId="0" fontId="1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>
      <alignment horizontal="right" vertical="top" wrapText="1"/>
    </xf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1">
      <alignment horizontal="center" wrapText="1"/>
    </xf>
    <xf numFmtId="0" fontId="12" fillId="0" borderId="1">
      <alignment horizontal="center"/>
    </xf>
    <xf numFmtId="0" fontId="12" fillId="0" borderId="1">
      <alignment horizontal="center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>
      <alignment horizontal="center"/>
    </xf>
    <xf numFmtId="0" fontId="12" fillId="0" borderId="0">
      <alignment horizontal="left" vertical="top"/>
    </xf>
    <xf numFmtId="0" fontId="12" fillId="0" borderId="0"/>
    <xf numFmtId="0" fontId="20" fillId="0" borderId="0" applyNumberFormat="0" applyFill="0" applyBorder="0" applyAlignment="0" applyProtection="0"/>
    <xf numFmtId="173" fontId="2" fillId="0" borderId="0"/>
    <xf numFmtId="174" fontId="2" fillId="0" borderId="0"/>
    <xf numFmtId="0" fontId="2" fillId="0" borderId="0"/>
    <xf numFmtId="0" fontId="1" fillId="0" borderId="0"/>
    <xf numFmtId="174" fontId="1" fillId="0" borderId="0"/>
    <xf numFmtId="0" fontId="22" fillId="0" borderId="0"/>
    <xf numFmtId="0" fontId="12" fillId="0" borderId="0"/>
    <xf numFmtId="0" fontId="9" fillId="0" borderId="0"/>
    <xf numFmtId="173" fontId="9" fillId="0" borderId="0"/>
    <xf numFmtId="174" fontId="9" fillId="0" borderId="0"/>
    <xf numFmtId="0" fontId="9" fillId="0" borderId="0"/>
    <xf numFmtId="174" fontId="9" fillId="0" borderId="0"/>
    <xf numFmtId="174" fontId="2" fillId="0" borderId="0"/>
    <xf numFmtId="0" fontId="2" fillId="0" borderId="0"/>
    <xf numFmtId="173" fontId="2" fillId="0" borderId="0"/>
    <xf numFmtId="174" fontId="2" fillId="0" borderId="0"/>
    <xf numFmtId="0" fontId="2" fillId="0" borderId="0"/>
    <xf numFmtId="174" fontId="2" fillId="0" borderId="0"/>
    <xf numFmtId="0" fontId="1" fillId="0" borderId="0"/>
    <xf numFmtId="174" fontId="1" fillId="0" borderId="0"/>
    <xf numFmtId="0" fontId="22" fillId="0" borderId="0"/>
    <xf numFmtId="0" fontId="1" fillId="0" borderId="0"/>
    <xf numFmtId="174" fontId="1" fillId="0" borderId="0"/>
    <xf numFmtId="0" fontId="22" fillId="0" borderId="0"/>
    <xf numFmtId="0" fontId="9" fillId="0" borderId="0"/>
    <xf numFmtId="174" fontId="9" fillId="0" borderId="0"/>
    <xf numFmtId="9" fontId="2" fillId="0" borderId="0" applyFont="0" applyFill="0" applyBorder="0" applyAlignment="0" applyProtection="0"/>
    <xf numFmtId="0" fontId="25" fillId="0" borderId="0"/>
    <xf numFmtId="173" fontId="25" fillId="0" borderId="0"/>
    <xf numFmtId="174" fontId="25" fillId="0" borderId="0"/>
    <xf numFmtId="0" fontId="26" fillId="0" borderId="0"/>
    <xf numFmtId="174" fontId="25" fillId="0" borderId="0"/>
    <xf numFmtId="0" fontId="26" fillId="0" borderId="0"/>
    <xf numFmtId="0" fontId="24" fillId="0" borderId="15">
      <alignment horizontal="left" vertical="top" wrapText="1"/>
    </xf>
    <xf numFmtId="173" fontId="24" fillId="0" borderId="15">
      <alignment horizontal="left" vertical="top" wrapText="1"/>
    </xf>
    <xf numFmtId="174" fontId="24" fillId="0" borderId="15">
      <alignment horizontal="left" vertical="top" wrapText="1"/>
    </xf>
    <xf numFmtId="0" fontId="24" fillId="0" borderId="15">
      <alignment horizontal="left" vertical="top" wrapText="1"/>
    </xf>
    <xf numFmtId="174" fontId="24" fillId="0" borderId="15">
      <alignment horizontal="left" vertical="top" wrapText="1"/>
    </xf>
    <xf numFmtId="171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1">
      <alignment vertical="top" wrapText="1"/>
    </xf>
  </cellStyleXfs>
  <cellXfs count="325">
    <xf numFmtId="0" fontId="0" fillId="0" borderId="0" xfId="0"/>
    <xf numFmtId="0" fontId="3" fillId="0" borderId="0" xfId="0" applyFont="1" applyBorder="1"/>
    <xf numFmtId="0" fontId="0" fillId="0" borderId="0" xfId="0" applyAlignment="1"/>
    <xf numFmtId="0" fontId="0" fillId="0" borderId="0" xfId="0" applyBorder="1" applyAlignment="1">
      <alignment horizontal="center" vertical="top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Border="1"/>
    <xf numFmtId="0" fontId="0" fillId="0" borderId="1" xfId="0" applyBorder="1"/>
    <xf numFmtId="0" fontId="11" fillId="0" borderId="1" xfId="0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 vertical="center"/>
    </xf>
    <xf numFmtId="166" fontId="9" fillId="0" borderId="1" xfId="0" applyNumberFormat="1" applyFont="1" applyFill="1" applyBorder="1" applyAlignment="1" applyProtection="1">
      <alignment horizontal="center" vertical="top"/>
    </xf>
    <xf numFmtId="0" fontId="0" fillId="0" borderId="1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0" fontId="0" fillId="0" borderId="0" xfId="0" applyFill="1" applyBorder="1"/>
    <xf numFmtId="0" fontId="0" fillId="2" borderId="1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1" xfId="0" applyFont="1" applyFill="1" applyBorder="1" applyAlignment="1">
      <alignment horizontal="center" vertical="center"/>
    </xf>
    <xf numFmtId="0" fontId="0" fillId="0" borderId="1" xfId="0" applyNumberFormat="1" applyFont="1" applyBorder="1" applyAlignment="1">
      <alignment wrapText="1"/>
    </xf>
    <xf numFmtId="0" fontId="4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3" xfId="0" applyFont="1" applyBorder="1" applyAlignment="1">
      <alignment vertical="top"/>
    </xf>
    <xf numFmtId="0" fontId="0" fillId="2" borderId="2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0" borderId="1" xfId="0" applyNumberFormat="1" applyBorder="1" applyAlignment="1">
      <alignment wrapText="1"/>
    </xf>
    <xf numFmtId="0" fontId="0" fillId="0" borderId="1" xfId="0" applyNumberFormat="1" applyFont="1" applyBorder="1" applyAlignment="1">
      <alignment horizontal="left" wrapText="1"/>
    </xf>
    <xf numFmtId="1" fontId="15" fillId="0" borderId="6" xfId="0" applyNumberFormat="1" applyFont="1" applyBorder="1" applyAlignment="1">
      <alignment horizontal="right"/>
    </xf>
    <xf numFmtId="4" fontId="15" fillId="0" borderId="4" xfId="0" applyNumberFormat="1" applyFont="1" applyBorder="1" applyAlignment="1">
      <alignment horizontal="right"/>
    </xf>
    <xf numFmtId="1" fontId="15" fillId="0" borderId="1" xfId="0" applyNumberFormat="1" applyFont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66" fontId="15" fillId="0" borderId="1" xfId="0" applyNumberFormat="1" applyFont="1" applyBorder="1" applyAlignment="1">
      <alignment horizontal="right"/>
    </xf>
    <xf numFmtId="0" fontId="0" fillId="0" borderId="0" xfId="0" applyNumberFormat="1" applyFont="1" applyAlignment="1">
      <alignment horizontal="left" wrapText="1"/>
    </xf>
    <xf numFmtId="1" fontId="15" fillId="0" borderId="0" xfId="0" applyNumberFormat="1" applyFont="1" applyAlignment="1">
      <alignment horizontal="right"/>
    </xf>
    <xf numFmtId="4" fontId="15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right"/>
    </xf>
    <xf numFmtId="166" fontId="11" fillId="0" borderId="1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Alignment="1">
      <alignment wrapText="1"/>
    </xf>
    <xf numFmtId="0" fontId="0" fillId="0" borderId="1" xfId="0" applyBorder="1" applyAlignment="1"/>
    <xf numFmtId="0" fontId="0" fillId="0" borderId="1" xfId="0" applyNumberFormat="1" applyFont="1" applyFill="1" applyBorder="1" applyAlignment="1">
      <alignment horizontal="left" wrapText="1"/>
    </xf>
    <xf numFmtId="0" fontId="0" fillId="0" borderId="9" xfId="0" applyNumberFormat="1" applyFont="1" applyBorder="1" applyAlignment="1">
      <alignment wrapText="1"/>
    </xf>
    <xf numFmtId="167" fontId="0" fillId="0" borderId="0" xfId="0" applyNumberFormat="1" applyFill="1" applyBorder="1" applyAlignment="1">
      <alignment horizontal="center"/>
    </xf>
    <xf numFmtId="165" fontId="15" fillId="0" borderId="6" xfId="0" applyNumberFormat="1" applyFont="1" applyBorder="1" applyAlignment="1">
      <alignment horizontal="right"/>
    </xf>
    <xf numFmtId="0" fontId="0" fillId="0" borderId="0" xfId="0" applyBorder="1" applyAlignment="1">
      <alignment wrapText="1"/>
    </xf>
    <xf numFmtId="168" fontId="7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4" borderId="0" xfId="0" applyFill="1"/>
    <xf numFmtId="0" fontId="16" fillId="3" borderId="9" xfId="0" applyNumberFormat="1" applyFont="1" applyFill="1" applyBorder="1" applyAlignment="1">
      <alignment horizontal="left" vertical="top" wrapText="1"/>
    </xf>
    <xf numFmtId="2" fontId="12" fillId="0" borderId="0" xfId="0" applyNumberFormat="1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left" wrapText="1"/>
    </xf>
    <xf numFmtId="0" fontId="0" fillId="4" borderId="1" xfId="0" applyFill="1" applyBorder="1" applyAlignment="1"/>
    <xf numFmtId="0" fontId="0" fillId="4" borderId="0" xfId="0" applyFill="1" applyAlignment="1"/>
    <xf numFmtId="0" fontId="0" fillId="4" borderId="1" xfId="0" applyFill="1" applyBorder="1"/>
    <xf numFmtId="0" fontId="9" fillId="0" borderId="1" xfId="0" applyFont="1" applyFill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/>
    <xf numFmtId="0" fontId="0" fillId="0" borderId="0" xfId="0" applyFill="1" applyAlignment="1"/>
    <xf numFmtId="0" fontId="0" fillId="0" borderId="0" xfId="0" applyFill="1" applyAlignment="1">
      <alignment wrapText="1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/>
    <xf numFmtId="0" fontId="0" fillId="0" borderId="8" xfId="0" applyFill="1" applyBorder="1"/>
    <xf numFmtId="0" fontId="0" fillId="4" borderId="1" xfId="0" applyNumberFormat="1" applyFont="1" applyFill="1" applyBorder="1" applyAlignment="1">
      <alignment wrapText="1"/>
    </xf>
    <xf numFmtId="0" fontId="0" fillId="4" borderId="8" xfId="0" applyFill="1" applyBorder="1" applyAlignment="1"/>
    <xf numFmtId="0" fontId="0" fillId="4" borderId="8" xfId="0" applyFill="1" applyBorder="1"/>
    <xf numFmtId="0" fontId="0" fillId="0" borderId="2" xfId="0" applyFill="1" applyBorder="1"/>
    <xf numFmtId="0" fontId="17" fillId="0" borderId="10" xfId="0" applyFont="1" applyBorder="1" applyAlignment="1"/>
    <xf numFmtId="0" fontId="0" fillId="0" borderId="6" xfId="0" applyBorder="1"/>
    <xf numFmtId="0" fontId="0" fillId="0" borderId="4" xfId="0" applyBorder="1"/>
    <xf numFmtId="167" fontId="0" fillId="5" borderId="0" xfId="0" applyNumberFormat="1" applyFill="1"/>
    <xf numFmtId="169" fontId="0" fillId="0" borderId="0" xfId="0" applyNumberFormat="1"/>
    <xf numFmtId="0" fontId="0" fillId="0" borderId="1" xfId="0" applyBorder="1" applyAlignment="1">
      <alignment horizontal="left" wrapText="1"/>
    </xf>
    <xf numFmtId="169" fontId="0" fillId="0" borderId="1" xfId="0" applyNumberFormat="1" applyBorder="1"/>
    <xf numFmtId="0" fontId="0" fillId="0" borderId="1" xfId="0" applyFill="1" applyBorder="1" applyAlignment="1">
      <alignment horizontal="left"/>
    </xf>
    <xf numFmtId="0" fontId="0" fillId="0" borderId="6" xfId="0" applyFill="1" applyBorder="1" applyAlignment="1"/>
    <xf numFmtId="0" fontId="0" fillId="0" borderId="7" xfId="0" applyFill="1" applyBorder="1" applyAlignment="1"/>
    <xf numFmtId="0" fontId="0" fillId="0" borderId="4" xfId="0" applyFill="1" applyBorder="1" applyAlignment="1"/>
    <xf numFmtId="17" fontId="0" fillId="0" borderId="1" xfId="0" applyNumberFormat="1" applyFill="1" applyBorder="1" applyAlignment="1">
      <alignment horizontal="center"/>
    </xf>
    <xf numFmtId="17" fontId="0" fillId="0" borderId="0" xfId="0" applyNumberFormat="1" applyFill="1"/>
    <xf numFmtId="0" fontId="0" fillId="6" borderId="1" xfId="0" applyNumberFormat="1" applyFont="1" applyFill="1" applyBorder="1" applyAlignment="1">
      <alignment wrapText="1"/>
    </xf>
    <xf numFmtId="0" fontId="0" fillId="6" borderId="1" xfId="0" applyFill="1" applyBorder="1" applyAlignment="1"/>
    <xf numFmtId="0" fontId="0" fillId="6" borderId="8" xfId="0" applyFill="1" applyBorder="1" applyAlignment="1"/>
    <xf numFmtId="0" fontId="0" fillId="6" borderId="8" xfId="0" applyFill="1" applyBorder="1"/>
    <xf numFmtId="0" fontId="0" fillId="6" borderId="1" xfId="0" applyFill="1" applyBorder="1"/>
    <xf numFmtId="0" fontId="0" fillId="6" borderId="0" xfId="0" applyFill="1"/>
    <xf numFmtId="0" fontId="0" fillId="5" borderId="8" xfId="0" applyFill="1" applyBorder="1" applyAlignment="1"/>
    <xf numFmtId="0" fontId="0" fillId="0" borderId="0" xfId="0" applyBorder="1" applyAlignment="1">
      <alignment horizontal="center"/>
    </xf>
    <xf numFmtId="49" fontId="0" fillId="0" borderId="1" xfId="0" applyNumberForma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Fill="1"/>
    <xf numFmtId="0" fontId="19" fillId="0" borderId="1" xfId="0" applyFont="1" applyFill="1" applyBorder="1" applyAlignment="1">
      <alignment horizontal="center"/>
    </xf>
    <xf numFmtId="0" fontId="19" fillId="0" borderId="1" xfId="0" applyFont="1" applyFill="1" applyBorder="1"/>
    <xf numFmtId="0" fontId="19" fillId="0" borderId="6" xfId="0" applyFont="1" applyFill="1" applyBorder="1" applyAlignment="1">
      <alignment vertical="center" wrapText="1"/>
    </xf>
    <xf numFmtId="0" fontId="19" fillId="0" borderId="4" xfId="0" applyFont="1" applyFill="1" applyBorder="1" applyAlignment="1">
      <alignment vertical="center" wrapText="1"/>
    </xf>
    <xf numFmtId="3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9" fontId="0" fillId="0" borderId="0" xfId="2" applyNumberFormat="1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0" fillId="4" borderId="0" xfId="0" applyFill="1" applyBorder="1" applyAlignment="1">
      <alignment horizontal="center"/>
    </xf>
    <xf numFmtId="3" fontId="0" fillId="0" borderId="0" xfId="0" applyNumberFormat="1" applyBorder="1"/>
    <xf numFmtId="0" fontId="0" fillId="7" borderId="4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1" fontId="0" fillId="7" borderId="0" xfId="0" applyNumberFormat="1" applyFill="1" applyBorder="1" applyAlignment="1">
      <alignment horizontal="center"/>
    </xf>
    <xf numFmtId="3" fontId="0" fillId="6" borderId="0" xfId="0" applyNumberFormat="1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/>
    </xf>
    <xf numFmtId="0" fontId="19" fillId="9" borderId="0" xfId="0" applyFont="1" applyFill="1" applyBorder="1" applyAlignment="1">
      <alignment vertical="center" wrapText="1"/>
    </xf>
    <xf numFmtId="0" fontId="7" fillId="8" borderId="0" xfId="0" applyFont="1" applyFill="1" applyBorder="1"/>
    <xf numFmtId="0" fontId="0" fillId="9" borderId="1" xfId="0" applyFill="1" applyBorder="1" applyAlignment="1">
      <alignment horizontal="center"/>
    </xf>
    <xf numFmtId="0" fontId="0" fillId="9" borderId="0" xfId="0" applyFont="1" applyFill="1" applyBorder="1" applyAlignment="1">
      <alignment wrapText="1"/>
    </xf>
    <xf numFmtId="0" fontId="7" fillId="9" borderId="1" xfId="0" applyFont="1" applyFill="1" applyBorder="1" applyAlignment="1">
      <alignment horizontal="center" vertical="center" wrapText="1"/>
    </xf>
    <xf numFmtId="0" fontId="20" fillId="0" borderId="0" xfId="3"/>
    <xf numFmtId="0" fontId="0" fillId="9" borderId="0" xfId="0" applyFill="1" applyBorder="1" applyAlignment="1">
      <alignment horizontal="center"/>
    </xf>
    <xf numFmtId="0" fontId="0" fillId="8" borderId="0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top" wrapText="1"/>
    </xf>
    <xf numFmtId="0" fontId="0" fillId="8" borderId="0" xfId="0" applyFont="1" applyFill="1" applyBorder="1" applyAlignment="1">
      <alignment vertical="top" wrapText="1"/>
    </xf>
    <xf numFmtId="0" fontId="0" fillId="5" borderId="0" xfId="0" applyFill="1" applyAlignment="1"/>
    <xf numFmtId="0" fontId="19" fillId="0" borderId="1" xfId="0" applyFont="1" applyFill="1" applyBorder="1" applyAlignment="1">
      <alignment horizontal="center" vertical="center" wrapText="1"/>
    </xf>
    <xf numFmtId="0" fontId="7" fillId="4" borderId="0" xfId="0" applyFont="1" applyFill="1" applyBorder="1"/>
    <xf numFmtId="0" fontId="0" fillId="4" borderId="0" xfId="0" applyFont="1" applyFill="1" applyBorder="1" applyAlignment="1">
      <alignment vertical="top" wrapText="1"/>
    </xf>
    <xf numFmtId="0" fontId="0" fillId="4" borderId="0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2" fontId="0" fillId="0" borderId="0" xfId="0" applyNumberForma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/>
    </xf>
    <xf numFmtId="0" fontId="0" fillId="0" borderId="1" xfId="0" applyNumberFormat="1" applyFont="1" applyFill="1" applyBorder="1" applyAlignment="1">
      <alignment wrapText="1"/>
    </xf>
    <xf numFmtId="0" fontId="0" fillId="0" borderId="1" xfId="0" applyFill="1" applyBorder="1" applyAlignment="1">
      <alignment horizontal="left" vertical="top" wrapText="1"/>
    </xf>
    <xf numFmtId="2" fontId="9" fillId="0" borderId="1" xfId="0" applyNumberFormat="1" applyFont="1" applyFill="1" applyBorder="1" applyAlignment="1" applyProtection="1">
      <alignment horizontal="center" vertical="top"/>
    </xf>
    <xf numFmtId="0" fontId="0" fillId="0" borderId="1" xfId="0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0" fillId="0" borderId="0" xfId="0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0" xfId="0"/>
    <xf numFmtId="0" fontId="0" fillId="2" borderId="2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14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0" fillId="0" borderId="1" xfId="1" applyFont="1" applyFill="1" applyBorder="1" applyAlignment="1">
      <alignment horizontal="left" wrapText="1"/>
    </xf>
    <xf numFmtId="0" fontId="0" fillId="0" borderId="1" xfId="1" applyFont="1" applyFill="1" applyBorder="1">
      <alignment horizont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2" xfId="1" applyFont="1" applyFill="1" applyBorder="1" applyAlignment="1">
      <alignment horizontal="left" wrapText="1"/>
    </xf>
    <xf numFmtId="0" fontId="0" fillId="0" borderId="2" xfId="1" applyFont="1" applyFill="1" applyBorder="1">
      <alignment horizontal="center" wrapText="1"/>
    </xf>
    <xf numFmtId="0" fontId="0" fillId="0" borderId="1" xfId="1" applyFont="1" applyFill="1" applyBorder="1" applyAlignment="1">
      <alignment horizontal="left" vertical="top" wrapText="1"/>
    </xf>
    <xf numFmtId="0" fontId="0" fillId="0" borderId="6" xfId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 vertical="center"/>
    </xf>
    <xf numFmtId="0" fontId="0" fillId="0" borderId="2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left" vertical="center" wrapText="1"/>
    </xf>
    <xf numFmtId="0" fontId="0" fillId="0" borderId="12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wrapText="1"/>
    </xf>
    <xf numFmtId="0" fontId="0" fillId="0" borderId="12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 vertical="center"/>
    </xf>
    <xf numFmtId="0" fontId="0" fillId="0" borderId="2" xfId="1" applyFont="1" applyFill="1" applyBorder="1" applyAlignment="1">
      <alignment horizontal="center" vertical="center" wrapText="1"/>
    </xf>
    <xf numFmtId="0" fontId="0" fillId="0" borderId="12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center" vertical="center"/>
    </xf>
    <xf numFmtId="0" fontId="0" fillId="0" borderId="1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left" vertical="center" wrapText="1"/>
    </xf>
    <xf numFmtId="0" fontId="0" fillId="0" borderId="2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  <xf numFmtId="0" fontId="0" fillId="11" borderId="1" xfId="1" applyFont="1" applyFill="1" applyBorder="1" applyAlignment="1">
      <alignment horizontal="center" vertical="center" wrapText="1"/>
    </xf>
    <xf numFmtId="0" fontId="0" fillId="11" borderId="1" xfId="1" applyFont="1" applyFill="1" applyBorder="1">
      <alignment horizontal="center" wrapText="1"/>
    </xf>
    <xf numFmtId="0" fontId="0" fillId="0" borderId="12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1" applyFont="1" applyBorder="1" applyAlignment="1">
      <alignment horizontal="left" wrapText="1"/>
    </xf>
    <xf numFmtId="0" fontId="0" fillId="0" borderId="2" xfId="1" applyFont="1" applyBorder="1">
      <alignment horizontal="center" wrapText="1"/>
    </xf>
    <xf numFmtId="0" fontId="0" fillId="0" borderId="2" xfId="1" applyFont="1" applyBorder="1" applyAlignment="1">
      <alignment horizontal="left" vertical="center" wrapText="1"/>
    </xf>
    <xf numFmtId="0" fontId="0" fillId="0" borderId="1" xfId="1" applyFont="1" applyAlignment="1">
      <alignment horizontal="left" wrapText="1"/>
    </xf>
    <xf numFmtId="0" fontId="0" fillId="10" borderId="0" xfId="0" applyFill="1"/>
    <xf numFmtId="0" fontId="0" fillId="12" borderId="0" xfId="0" applyFill="1"/>
    <xf numFmtId="0" fontId="7" fillId="0" borderId="0" xfId="0" applyFont="1"/>
    <xf numFmtId="0" fontId="7" fillId="12" borderId="0" xfId="0" applyFont="1" applyFill="1"/>
    <xf numFmtId="49" fontId="0" fillId="0" borderId="0" xfId="0" applyNumberFormat="1"/>
    <xf numFmtId="2" fontId="0" fillId="0" borderId="0" xfId="0" applyNumberFormat="1"/>
    <xf numFmtId="166" fontId="0" fillId="0" borderId="0" xfId="0" applyNumberFormat="1"/>
    <xf numFmtId="165" fontId="0" fillId="12" borderId="0" xfId="0" applyNumberFormat="1" applyFill="1"/>
    <xf numFmtId="49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/>
    </xf>
    <xf numFmtId="0" fontId="0" fillId="0" borderId="0" xfId="0"/>
    <xf numFmtId="0" fontId="9" fillId="0" borderId="1" xfId="0" applyFont="1" applyBorder="1" applyAlignment="1">
      <alignment horizontal="center" vertical="top"/>
    </xf>
    <xf numFmtId="0" fontId="0" fillId="0" borderId="1" xfId="0" applyFont="1" applyFill="1" applyBorder="1" applyAlignment="1">
      <alignment horizontal="left" vertical="top" wrapText="1"/>
    </xf>
    <xf numFmtId="0" fontId="17" fillId="11" borderId="10" xfId="0" applyFont="1" applyFill="1" applyBorder="1" applyAlignment="1">
      <alignment horizontal="center"/>
    </xf>
    <xf numFmtId="0" fontId="17" fillId="11" borderId="11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top" wrapText="1"/>
    </xf>
    <xf numFmtId="0" fontId="0" fillId="0" borderId="12" xfId="0" applyFont="1" applyFill="1" applyBorder="1" applyAlignment="1">
      <alignment horizontal="left" vertical="top" wrapText="1"/>
    </xf>
    <xf numFmtId="0" fontId="0" fillId="0" borderId="2" xfId="1" applyFont="1" applyFill="1" applyBorder="1" applyAlignment="1">
      <alignment horizontal="center" vertical="center" wrapText="1"/>
    </xf>
    <xf numFmtId="0" fontId="0" fillId="0" borderId="12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left" vertical="top" wrapText="1"/>
    </xf>
    <xf numFmtId="0" fontId="0" fillId="0" borderId="12" xfId="1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left" vertical="top" wrapText="1"/>
    </xf>
    <xf numFmtId="0" fontId="0" fillId="0" borderId="1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vertical="top" wrapText="1"/>
    </xf>
    <xf numFmtId="0" fontId="0" fillId="0" borderId="12" xfId="1" applyFont="1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6" xfId="1" applyFont="1" applyFill="1" applyBorder="1" applyAlignment="1">
      <alignment horizontal="left" vertical="center"/>
    </xf>
    <xf numFmtId="0" fontId="0" fillId="0" borderId="7" xfId="1" applyFont="1" applyFill="1" applyBorder="1" applyAlignment="1">
      <alignment horizontal="left" vertical="center"/>
    </xf>
    <xf numFmtId="0" fontId="0" fillId="0" borderId="4" xfId="1" applyFont="1" applyFill="1" applyBorder="1" applyAlignment="1">
      <alignment horizontal="left" vertical="center"/>
    </xf>
    <xf numFmtId="0" fontId="0" fillId="0" borderId="8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left" vertical="center" wrapText="1"/>
    </xf>
    <xf numFmtId="0" fontId="0" fillId="0" borderId="8" xfId="1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left" vertical="center"/>
    </xf>
    <xf numFmtId="0" fontId="18" fillId="0" borderId="7" xfId="0" applyFont="1" applyFill="1" applyBorder="1" applyAlignment="1">
      <alignment horizontal="left" vertical="center"/>
    </xf>
    <xf numFmtId="0" fontId="18" fillId="0" borderId="4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 vertical="center" wrapText="1"/>
    </xf>
    <xf numFmtId="0" fontId="0" fillId="0" borderId="13" xfId="1" applyFont="1" applyFill="1" applyBorder="1" applyAlignment="1">
      <alignment horizontal="left" vertical="center" wrapText="1"/>
    </xf>
    <xf numFmtId="0" fontId="0" fillId="0" borderId="0" xfId="1" applyFont="1" applyFill="1" applyBorder="1" applyAlignment="1">
      <alignment horizontal="left" vertical="center" wrapText="1"/>
    </xf>
    <xf numFmtId="0" fontId="0" fillId="0" borderId="3" xfId="1" applyFont="1" applyFill="1" applyBorder="1" applyAlignment="1">
      <alignment horizontal="left" vertical="center" wrapText="1"/>
    </xf>
    <xf numFmtId="0" fontId="0" fillId="0" borderId="12" xfId="1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0" fillId="10" borderId="0" xfId="0" applyFill="1" applyBorder="1" applyAlignment="1">
      <alignment horizontal="left" vertical="top" wrapText="1"/>
    </xf>
    <xf numFmtId="0" fontId="17" fillId="0" borderId="10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center" wrapText="1"/>
    </xf>
    <xf numFmtId="0" fontId="19" fillId="0" borderId="7" xfId="0" applyFont="1" applyFill="1" applyBorder="1" applyAlignment="1">
      <alignment horizontal="center" wrapText="1"/>
    </xf>
    <xf numFmtId="0" fontId="19" fillId="0" borderId="4" xfId="0" applyFont="1" applyFill="1" applyBorder="1" applyAlignment="1">
      <alignment horizontal="center" wrapText="1"/>
    </xf>
    <xf numFmtId="0" fontId="28" fillId="0" borderId="0" xfId="0" applyFont="1"/>
    <xf numFmtId="0" fontId="28" fillId="0" borderId="0" xfId="0" applyFont="1" applyBorder="1" applyAlignment="1">
      <alignment horizontal="center"/>
    </xf>
    <xf numFmtId="0" fontId="29" fillId="0" borderId="0" xfId="0" applyFont="1" applyBorder="1"/>
    <xf numFmtId="0" fontId="28" fillId="0" borderId="0" xfId="0" applyFont="1" applyBorder="1" applyAlignment="1">
      <alignment horizontal="center" vertical="top"/>
    </xf>
    <xf numFmtId="0" fontId="28" fillId="0" borderId="0" xfId="0" applyFont="1" applyAlignment="1">
      <alignment horizontal="left"/>
    </xf>
    <xf numFmtId="0" fontId="28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8" fillId="0" borderId="0" xfId="0" applyFont="1" applyFill="1" applyAlignment="1">
      <alignment horizontal="right"/>
    </xf>
    <xf numFmtId="0" fontId="2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6" xfId="1" applyFont="1" applyFill="1" applyBorder="1">
      <alignment horizontal="center" wrapText="1"/>
    </xf>
    <xf numFmtId="0" fontId="0" fillId="0" borderId="6" xfId="1" applyFont="1" applyBorder="1">
      <alignment horizontal="center" wrapText="1"/>
    </xf>
    <xf numFmtId="0" fontId="0" fillId="0" borderId="14" xfId="1" applyFont="1" applyFill="1" applyBorder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0" fillId="11" borderId="0" xfId="0" applyFont="1" applyFill="1" applyBorder="1"/>
    <xf numFmtId="0" fontId="30" fillId="11" borderId="0" xfId="0" applyFont="1" applyFill="1" applyBorder="1" applyAlignment="1">
      <alignment wrapText="1"/>
    </xf>
    <xf numFmtId="0" fontId="31" fillId="11" borderId="0" xfId="0" applyFont="1" applyFill="1" applyBorder="1"/>
    <xf numFmtId="0" fontId="31" fillId="11" borderId="0" xfId="0" applyFont="1" applyFill="1" applyBorder="1" applyAlignment="1"/>
    <xf numFmtId="0" fontId="32" fillId="11" borderId="0" xfId="0" applyFont="1" applyFill="1" applyBorder="1"/>
    <xf numFmtId="0" fontId="32" fillId="11" borderId="0" xfId="0" applyFont="1" applyFill="1" applyBorder="1" applyAlignment="1">
      <alignment horizontal="center" wrapText="1"/>
    </xf>
    <xf numFmtId="0" fontId="32" fillId="11" borderId="0" xfId="0" applyFont="1" applyFill="1" applyBorder="1" applyAlignment="1">
      <alignment horizontal="center" vertical="center" wrapText="1"/>
    </xf>
    <xf numFmtId="0" fontId="32" fillId="11" borderId="0" xfId="0" applyFont="1" applyFill="1" applyBorder="1" applyAlignment="1">
      <alignment horizontal="center" vertical="center" wrapText="1"/>
    </xf>
    <xf numFmtId="0" fontId="31" fillId="11" borderId="0" xfId="0" applyFont="1" applyFill="1" applyBorder="1" applyAlignment="1">
      <alignment horizontal="center" vertical="center" wrapText="1"/>
    </xf>
    <xf numFmtId="0" fontId="32" fillId="11" borderId="0" xfId="0" applyFont="1" applyFill="1" applyBorder="1" applyAlignment="1">
      <alignment horizontal="center"/>
    </xf>
    <xf numFmtId="0" fontId="32" fillId="11" borderId="0" xfId="0" applyFont="1" applyFill="1" applyBorder="1" applyAlignment="1">
      <alignment vertical="center" wrapText="1"/>
    </xf>
    <xf numFmtId="0" fontId="31" fillId="11" borderId="0" xfId="0" applyFont="1" applyFill="1" applyBorder="1" applyAlignment="1">
      <alignment horizontal="center"/>
    </xf>
    <xf numFmtId="167" fontId="31" fillId="11" borderId="0" xfId="0" applyNumberFormat="1" applyFont="1" applyFill="1" applyBorder="1" applyAlignment="1">
      <alignment horizontal="center"/>
    </xf>
    <xf numFmtId="3" fontId="31" fillId="11" borderId="0" xfId="0" applyNumberFormat="1" applyFont="1" applyFill="1" applyBorder="1" applyAlignment="1">
      <alignment horizontal="center"/>
    </xf>
    <xf numFmtId="170" fontId="31" fillId="11" borderId="0" xfId="0" applyNumberFormat="1" applyFont="1" applyFill="1" applyBorder="1" applyAlignment="1">
      <alignment horizontal="center"/>
    </xf>
    <xf numFmtId="0" fontId="33" fillId="11" borderId="0" xfId="0" applyFont="1" applyFill="1" applyBorder="1" applyAlignment="1">
      <alignment horizontal="left" vertical="center" wrapText="1"/>
    </xf>
    <xf numFmtId="2" fontId="31" fillId="11" borderId="0" xfId="0" applyNumberFormat="1" applyFont="1" applyFill="1" applyBorder="1" applyAlignment="1">
      <alignment horizontal="center"/>
    </xf>
    <xf numFmtId="1" fontId="31" fillId="11" borderId="0" xfId="0" applyNumberFormat="1" applyFont="1" applyFill="1" applyBorder="1" applyAlignment="1">
      <alignment horizontal="center"/>
    </xf>
    <xf numFmtId="3" fontId="31" fillId="11" borderId="0" xfId="0" applyNumberFormat="1" applyFont="1" applyFill="1" applyBorder="1"/>
    <xf numFmtId="4" fontId="31" fillId="11" borderId="0" xfId="0" applyNumberFormat="1" applyFont="1" applyFill="1" applyBorder="1"/>
    <xf numFmtId="0" fontId="34" fillId="11" borderId="0" xfId="0" applyFont="1" applyFill="1" applyBorder="1" applyAlignment="1">
      <alignment horizontal="left" vertical="top" wrapText="1"/>
    </xf>
    <xf numFmtId="166" fontId="34" fillId="11" borderId="0" xfId="0" applyNumberFormat="1" applyFont="1" applyFill="1" applyBorder="1" applyAlignment="1">
      <alignment horizontal="left" vertical="top" wrapText="1"/>
    </xf>
    <xf numFmtId="167" fontId="31" fillId="11" borderId="0" xfId="0" applyNumberFormat="1" applyFont="1" applyFill="1" applyBorder="1"/>
  </cellXfs>
  <cellStyles count="123">
    <cellStyle name="Акт" xfId="4"/>
    <cellStyle name="АктМТСН" xfId="5"/>
    <cellStyle name="АктМТСН 2" xfId="6"/>
    <cellStyle name="АктМТСН 3" xfId="7"/>
    <cellStyle name="АктМТСН 4" xfId="8"/>
    <cellStyle name="АктМТСН 5" xfId="9"/>
    <cellStyle name="АктМТСН 6" xfId="10"/>
    <cellStyle name="ВедРесурсов" xfId="11"/>
    <cellStyle name="ВедРесурсовАкт" xfId="12"/>
    <cellStyle name="Гиперссылка" xfId="3" builtinId="8"/>
    <cellStyle name="Гиперссылка 2" xfId="77"/>
    <cellStyle name="Гиперссылка 3" xfId="120"/>
    <cellStyle name="Индексы" xfId="13"/>
    <cellStyle name="Индексы 2" xfId="14"/>
    <cellStyle name="Индексы 3" xfId="15"/>
    <cellStyle name="Индексы 4" xfId="16"/>
    <cellStyle name="Индексы 5" xfId="17"/>
    <cellStyle name="Индексы 6" xfId="18"/>
    <cellStyle name="Итоги" xfId="19"/>
    <cellStyle name="ИтогоАктБазЦ" xfId="20"/>
    <cellStyle name="ИтогоАктБИМ" xfId="21"/>
    <cellStyle name="ИтогоАктБИМ 2" xfId="22"/>
    <cellStyle name="ИтогоАктБИМ 3" xfId="23"/>
    <cellStyle name="ИтогоАктБИМ 4" xfId="24"/>
    <cellStyle name="ИтогоАктБИМ 5" xfId="25"/>
    <cellStyle name="ИтогоАктБИМ 6" xfId="26"/>
    <cellStyle name="ИтогоАктРесМет" xfId="27"/>
    <cellStyle name="ИтогоАктРесМет 2" xfId="28"/>
    <cellStyle name="ИтогоАктРесМет 3" xfId="29"/>
    <cellStyle name="ИтогоАктРесМет 4" xfId="30"/>
    <cellStyle name="ИтогоАктРесМет 5" xfId="31"/>
    <cellStyle name="ИтогоАктРесМет 6" xfId="32"/>
    <cellStyle name="ИтогоБазЦ" xfId="33"/>
    <cellStyle name="ИтогоБИМ" xfId="34"/>
    <cellStyle name="ИтогоБИМ 2" xfId="35"/>
    <cellStyle name="ИтогоБИМ 3" xfId="36"/>
    <cellStyle name="ИтогоБИМ 4" xfId="37"/>
    <cellStyle name="ИтогоБИМ 5" xfId="38"/>
    <cellStyle name="ИтогоБИМ 6" xfId="39"/>
    <cellStyle name="ИтогоРесМет" xfId="40"/>
    <cellStyle name="ИтогоРесМет 2" xfId="41"/>
    <cellStyle name="ИтогоРесМет 3" xfId="42"/>
    <cellStyle name="ИтогоРесМет 4" xfId="43"/>
    <cellStyle name="ИтогоРесМет 5" xfId="44"/>
    <cellStyle name="ИтогоРесМет 6" xfId="45"/>
    <cellStyle name="ЛокСмета" xfId="1"/>
    <cellStyle name="ЛокСмМТСН" xfId="46"/>
    <cellStyle name="ЛокСмМТСН 2" xfId="47"/>
    <cellStyle name="ЛокСмМТСН 3" xfId="48"/>
    <cellStyle name="ЛокСмМТСН 4" xfId="49"/>
    <cellStyle name="ЛокСмМТСН 5" xfId="50"/>
    <cellStyle name="ЛокСмМТСН 6" xfId="51"/>
    <cellStyle name="М29" xfId="52"/>
    <cellStyle name="М29 2" xfId="53"/>
    <cellStyle name="М29 3" xfId="54"/>
    <cellStyle name="М29 4" xfId="55"/>
    <cellStyle name="М29 5" xfId="56"/>
    <cellStyle name="М29 6" xfId="57"/>
    <cellStyle name="ОбСмета" xfId="58"/>
    <cellStyle name="ОбСмета 2" xfId="59"/>
    <cellStyle name="ОбСмета 3" xfId="60"/>
    <cellStyle name="ОбСмета 4" xfId="61"/>
    <cellStyle name="ОбСмета 5" xfId="62"/>
    <cellStyle name="ОбСмета 6" xfId="63"/>
    <cellStyle name="Обычный" xfId="0" builtinId="0"/>
    <cellStyle name="Обычный 2" xfId="78"/>
    <cellStyle name="Обычный 2 2" xfId="79"/>
    <cellStyle name="Обычный 2_Деф" xfId="80"/>
    <cellStyle name="Обычный 28" xfId="81"/>
    <cellStyle name="Обычный 28 2" xfId="82"/>
    <cellStyle name="Обычный 28_Деф" xfId="83"/>
    <cellStyle name="Обычный 3" xfId="84"/>
    <cellStyle name="Обычный 3 2" xfId="85"/>
    <cellStyle name="Обычный 3 2 2" xfId="86"/>
    <cellStyle name="Обычный 3 2 2 2" xfId="87"/>
    <cellStyle name="Обычный 3 2 2_Деф" xfId="88"/>
    <cellStyle name="Обычный 3 2 3" xfId="89"/>
    <cellStyle name="Обычный 3 3" xfId="90"/>
    <cellStyle name="Обычный 3 4" xfId="91"/>
    <cellStyle name="Обычный 3 4 2" xfId="92"/>
    <cellStyle name="Обычный 3 4 2 2" xfId="93"/>
    <cellStyle name="Обычный 3 4 2_Деф" xfId="94"/>
    <cellStyle name="Обычный 3 4 3" xfId="95"/>
    <cellStyle name="Обычный 34" xfId="96"/>
    <cellStyle name="Обычный 34 2" xfId="97"/>
    <cellStyle name="Обычный 34_Деф" xfId="98"/>
    <cellStyle name="Обычный 39" xfId="99"/>
    <cellStyle name="Обычный 39 2" xfId="100"/>
    <cellStyle name="Обычный 39_Деф" xfId="101"/>
    <cellStyle name="Обычный 5" xfId="102"/>
    <cellStyle name="Обычный 5 2" xfId="103"/>
    <cellStyle name="Параметр" xfId="64"/>
    <cellStyle name="ПеременныеСметы" xfId="65"/>
    <cellStyle name="Процентный" xfId="2" builtinId="5"/>
    <cellStyle name="Процентный 2" xfId="104"/>
    <cellStyle name="РесСмета" xfId="66"/>
    <cellStyle name="СводВедРес" xfId="121"/>
    <cellStyle name="СводкаСтоимРаб" xfId="67"/>
    <cellStyle name="СводРасч" xfId="68"/>
    <cellStyle name="СводРасч 2" xfId="69"/>
    <cellStyle name="СводРасч 3" xfId="70"/>
    <cellStyle name="СводРасч 4" xfId="71"/>
    <cellStyle name="СводРасч 5" xfId="72"/>
    <cellStyle name="СводРасч 6" xfId="73"/>
    <cellStyle name="Стиль 1" xfId="105"/>
    <cellStyle name="Стиль 1 2" xfId="106"/>
    <cellStyle name="Стиль 1 2 2" xfId="107"/>
    <cellStyle name="Стиль 1 2_Деф" xfId="108"/>
    <cellStyle name="Стиль 1 3" xfId="109"/>
    <cellStyle name="Стиль 1_Деф" xfId="110"/>
    <cellStyle name="Стиль1" xfId="111"/>
    <cellStyle name="Стиль1 2" xfId="112"/>
    <cellStyle name="Стиль1 2 2" xfId="113"/>
    <cellStyle name="Стиль1 2_Деф" xfId="114"/>
    <cellStyle name="Стиль1 3" xfId="115"/>
    <cellStyle name="Титул" xfId="74"/>
    <cellStyle name="Тысячи [0]_Example " xfId="116"/>
    <cellStyle name="Тысячи_Example " xfId="117"/>
    <cellStyle name="Финансовый 2" xfId="118"/>
    <cellStyle name="Финансовый 3" xfId="119"/>
    <cellStyle name="Хвост" xfId="75"/>
    <cellStyle name="Ценник" xfId="122"/>
    <cellStyle name="Экспертиза" xfId="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pina_pv/Documents/&#1056;&#1045;&#1055;&#1048;&#1053;&#1040;%20&#1055;.&#1042;/02_&#1051;&#1048;&#1053;&#1048;&#1048;/2022_&#1089;&#1084;&#1077;&#1090;&#1099;/01_&#1042;&#1051;04%20&#1054;&#1105;&#1082;,%20&#1055;&#1088;&#1080;&#1073;+/&#1082;%20&#1076;&#1086;&#1075;&#1086;&#1074;&#1086;&#1088;&#1091;%20&#1044;&#1054;&#1055;%202&#1086;&#1073;&#1098;&#1105;&#1084;&#1099;/&#1074;2%20!%2002%20&#1044;&#1042;%20&#1043;&#1086;&#1088;&#1086;&#1093;&#1086;&#1074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Лист1"/>
      <sheetName val="Степановка"/>
      <sheetName val="582 Ф-1"/>
      <sheetName val="583 Ф-1"/>
      <sheetName val="583 Ф-2"/>
      <sheetName val="Ф-1 583 "/>
      <sheetName val="Ф-2 596"/>
      <sheetName val="Ф-2 610"/>
      <sheetName val="Ф-2 612"/>
      <sheetName val="Матер"/>
      <sheetName val="Заявка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2">
          <cell r="A2" t="str">
            <v>Анкерный клиновой зажим РА 25*100</v>
          </cell>
          <cell r="B2" t="str">
            <v>шт</v>
          </cell>
          <cell r="C2">
            <v>66.81</v>
          </cell>
        </row>
        <row r="3">
          <cell r="A3" t="str">
            <v>Бандаж  (BIC-15.50)</v>
          </cell>
          <cell r="B3" t="str">
            <v>шт</v>
          </cell>
          <cell r="C3">
            <v>87.793000000000006</v>
          </cell>
        </row>
        <row r="4">
          <cell r="A4" t="str">
            <v>Бугель NB 20</v>
          </cell>
          <cell r="B4" t="str">
            <v>упак</v>
          </cell>
          <cell r="C4">
            <v>987.06</v>
          </cell>
        </row>
        <row r="5">
          <cell r="A5" t="str">
            <v xml:space="preserve">Датчик ДДМ Б/У </v>
          </cell>
          <cell r="B5" t="str">
            <v>шт</v>
          </cell>
          <cell r="C5">
            <v>0</v>
          </cell>
        </row>
        <row r="6">
          <cell r="A6" t="str">
            <v>Зажим анкерный РА 1500</v>
          </cell>
          <cell r="B6" t="str">
            <v>шт</v>
          </cell>
          <cell r="C6">
            <v>284.64</v>
          </cell>
        </row>
        <row r="7">
          <cell r="A7" t="str">
            <v>Зажим аппаратный А2А-120-Т</v>
          </cell>
          <cell r="B7" t="str">
            <v>шт</v>
          </cell>
          <cell r="C7">
            <v>163.67000000000002</v>
          </cell>
        </row>
        <row r="8">
          <cell r="A8" t="str">
            <v>Зажим аппаратный А2А-50-Т</v>
          </cell>
          <cell r="B8" t="str">
            <v>шт</v>
          </cell>
          <cell r="C8">
            <v>169.36</v>
          </cell>
        </row>
        <row r="9">
          <cell r="A9" t="str">
            <v>Зажим аппаратный А2А-95-Т</v>
          </cell>
          <cell r="B9" t="str">
            <v>шт</v>
          </cell>
          <cell r="C9">
            <v>136.09</v>
          </cell>
        </row>
        <row r="10">
          <cell r="A10" t="str">
            <v>Зажим временного заземления ZVZ-481</v>
          </cell>
          <cell r="B10" t="str">
            <v>шт</v>
          </cell>
          <cell r="C10">
            <v>350</v>
          </cell>
        </row>
        <row r="11">
          <cell r="A11" t="str">
            <v>Зажим натяжной болтовой НБ-2-6 А</v>
          </cell>
          <cell r="B11" t="str">
            <v>шт</v>
          </cell>
          <cell r="C11">
            <v>327.33999999999997</v>
          </cell>
        </row>
        <row r="12">
          <cell r="A12" t="str">
            <v>Зажим плашечный ПА-2-2 (трехболт.)</v>
          </cell>
          <cell r="B12" t="str">
            <v>шт</v>
          </cell>
          <cell r="C12">
            <v>63.29</v>
          </cell>
        </row>
        <row r="13">
          <cell r="A13" t="str">
            <v>Зажим поддерживающий PS 2000 (Поддерживающий зажим PS 1500)</v>
          </cell>
          <cell r="B13" t="str">
            <v>шт</v>
          </cell>
          <cell r="C13">
            <v>115.25</v>
          </cell>
        </row>
        <row r="14">
          <cell r="A14" t="str">
            <v>Зажим прокалывающий ОР-6</v>
          </cell>
          <cell r="B14" t="str">
            <v>шт</v>
          </cell>
          <cell r="C14">
            <v>45.944000000000003</v>
          </cell>
        </row>
        <row r="15">
          <cell r="A15" t="str">
            <v>Зажим прокалывающий ОР-645</v>
          </cell>
          <cell r="B15" t="str">
            <v>шт</v>
          </cell>
          <cell r="C15">
            <v>98</v>
          </cell>
        </row>
        <row r="16">
          <cell r="A16" t="str">
            <v>Зажим прокалывающий ОР-72</v>
          </cell>
          <cell r="B16" t="str">
            <v>шт</v>
          </cell>
          <cell r="C16">
            <v>140</v>
          </cell>
        </row>
        <row r="17">
          <cell r="A17" t="str">
            <v>Зажим прокалывающий ОР-95</v>
          </cell>
          <cell r="B17" t="str">
            <v>шт</v>
          </cell>
          <cell r="C17">
            <v>176.48</v>
          </cell>
        </row>
        <row r="18">
          <cell r="A18" t="str">
            <v>Зажим соединительный (плашечный) ПС-2-1А</v>
          </cell>
          <cell r="B18" t="str">
            <v>шт</v>
          </cell>
          <cell r="C18">
            <v>62.62</v>
          </cell>
        </row>
        <row r="19">
          <cell r="A19" t="str">
            <v>Зажим соединительный ПС-2-1</v>
          </cell>
          <cell r="B19" t="str">
            <v>шт</v>
          </cell>
          <cell r="C19">
            <v>74.13</v>
          </cell>
        </row>
        <row r="20">
          <cell r="A20" t="str">
            <v>Кабельный ремешок Е-1 180 мм</v>
          </cell>
          <cell r="B20" t="str">
            <v>шт</v>
          </cell>
          <cell r="C20">
            <v>3.5169999999999999</v>
          </cell>
        </row>
        <row r="21">
          <cell r="A21" t="str">
            <v>Краска-спрей черная 0,52 мл</v>
          </cell>
          <cell r="B21" t="str">
            <v>л</v>
          </cell>
          <cell r="C21">
            <v>207.5</v>
          </cell>
        </row>
        <row r="22">
          <cell r="A22" t="str">
            <v>Краска-спрей зеленая 0,52 мл</v>
          </cell>
          <cell r="B22" t="str">
            <v>л</v>
          </cell>
          <cell r="C22">
            <v>207.5</v>
          </cell>
        </row>
        <row r="23">
          <cell r="A23" t="str">
            <v>Краска-спрей красная 0,52 мл</v>
          </cell>
          <cell r="B23" t="str">
            <v>л</v>
          </cell>
          <cell r="C23">
            <v>207.5</v>
          </cell>
        </row>
        <row r="24">
          <cell r="A24" t="str">
            <v>Краска-спрей желтая 0,52 мл</v>
          </cell>
          <cell r="B24" t="str">
            <v>л</v>
          </cell>
          <cell r="C24">
            <v>207.5</v>
          </cell>
        </row>
        <row r="25">
          <cell r="A25" t="str">
            <v>КАТАНКА 6,5</v>
          </cell>
          <cell r="B25" t="str">
            <v>т</v>
          </cell>
          <cell r="C25">
            <v>35580</v>
          </cell>
        </row>
        <row r="26">
          <cell r="A26" t="str">
            <v>Комплект промежуточной подвески ES 1500</v>
          </cell>
          <cell r="B26" t="str">
            <v>шт</v>
          </cell>
          <cell r="C26">
            <v>186.75</v>
          </cell>
        </row>
        <row r="27">
          <cell r="A27" t="str">
            <v>Кронштейн анкерный  CS 10.3</v>
          </cell>
          <cell r="B27" t="str">
            <v>шт</v>
          </cell>
          <cell r="C27">
            <v>100</v>
          </cell>
        </row>
        <row r="28">
          <cell r="A28" t="str">
            <v>Кронштейн анкерный СА25</v>
          </cell>
          <cell r="B28" t="str">
            <v>шт</v>
          </cell>
          <cell r="C28">
            <v>20</v>
          </cell>
        </row>
        <row r="29">
          <cell r="A29" t="str">
            <v>КРОНШТЕЙН М-10</v>
          </cell>
          <cell r="B29" t="str">
            <v>шт</v>
          </cell>
          <cell r="C29">
            <v>1300</v>
          </cell>
        </row>
        <row r="30">
          <cell r="A30" t="str">
            <v>КРУГ СТ. 3 Ф 12</v>
          </cell>
          <cell r="B30" t="str">
            <v>т</v>
          </cell>
          <cell r="C30">
            <v>53000</v>
          </cell>
        </row>
        <row r="31">
          <cell r="A31" t="str">
            <v>КРУГ СТ. 3 Ф 14</v>
          </cell>
          <cell r="B31" t="str">
            <v>т</v>
          </cell>
          <cell r="C31">
            <v>53000</v>
          </cell>
        </row>
        <row r="32">
          <cell r="A32" t="str">
            <v>КРУГ СТ. 3 Ф 16</v>
          </cell>
          <cell r="B32" t="str">
            <v>т</v>
          </cell>
          <cell r="C32">
            <v>53000</v>
          </cell>
        </row>
        <row r="33">
          <cell r="A33" t="str">
            <v>КРЮК КН-18</v>
          </cell>
          <cell r="B33" t="str">
            <v>шт</v>
          </cell>
          <cell r="C33">
            <v>75.03</v>
          </cell>
        </row>
        <row r="34">
          <cell r="A34" t="str">
            <v>Лента F20.07</v>
          </cell>
          <cell r="B34" t="str">
            <v>упак/50м</v>
          </cell>
          <cell r="C34">
            <v>1500</v>
          </cell>
        </row>
        <row r="35">
          <cell r="A35" t="str">
            <v>Мастика каучуко-битумная гидроизоляционная ВИТ (ведро 15 кг) ТУ 5775-023-87271621-2011</v>
          </cell>
          <cell r="B35" t="str">
            <v>кг</v>
          </cell>
          <cell r="C35">
            <v>80</v>
          </cell>
        </row>
        <row r="36">
          <cell r="A36" t="str">
            <v>ОГРАНИЧИТЕЛЬ ПЕРЕНАПРЯЖЕНИЯ ОПН типа LVA-450  в комлекте с  зажимом OP-645, ПА-1-1 и медным заземляющим проводником сечением 6 мм2  длиной 1000 мм</v>
          </cell>
          <cell r="B36" t="str">
            <v>шт</v>
          </cell>
          <cell r="C36">
            <v>791.3</v>
          </cell>
        </row>
        <row r="37">
          <cell r="A37" t="str">
            <v>ОПОРА СВ-105 МОМЕНТ 5</v>
          </cell>
          <cell r="B37" t="str">
            <v>шт</v>
          </cell>
          <cell r="C37">
            <v>0</v>
          </cell>
        </row>
        <row r="38">
          <cell r="A38" t="str">
            <v>ОПОРА СВ105-3.5</v>
          </cell>
          <cell r="B38" t="str">
            <v>шт</v>
          </cell>
          <cell r="C38">
            <v>7800</v>
          </cell>
        </row>
        <row r="39">
          <cell r="A39" t="str">
            <v>ПОЛОСА СТАЛЬНАЯ 40Х4</v>
          </cell>
          <cell r="B39" t="str">
            <v>т</v>
          </cell>
          <cell r="C39">
            <v>46866</v>
          </cell>
        </row>
        <row r="40">
          <cell r="A40" t="str">
            <v>ПРИСТАВКИ ПТ43-2</v>
          </cell>
          <cell r="B40" t="str">
            <v>шт</v>
          </cell>
          <cell r="C40">
            <v>3102.58</v>
          </cell>
        </row>
        <row r="41">
          <cell r="A41" t="str">
            <v>Провод медный гибкий ПМГ5 25</v>
          </cell>
          <cell r="B41" t="str">
            <v>км</v>
          </cell>
          <cell r="C41">
            <v>203449.9</v>
          </cell>
        </row>
        <row r="42">
          <cell r="A42" t="str">
            <v>Провод САМОНЕСУЩ.АЛ.ЖИЛ.ПЭ.ИЗОЛЯЦ БЕЗ НЕСУЩ.ЖИЛ.НАП1КВ  СИП-4 2Х16</v>
          </cell>
          <cell r="B42" t="str">
            <v>км</v>
          </cell>
          <cell r="C42">
            <v>34681.949999999997</v>
          </cell>
        </row>
        <row r="43">
          <cell r="A43" t="str">
            <v>Провод САМОНЕСУЩ.АЛ.ЖИЛ.ПЭ.ИЗОЛЯЦ БЕЗ НЕСУЩ.ЖИЛ.НАП1КВ  СИП-4 2Х16 Б/У</v>
          </cell>
          <cell r="B43" t="str">
            <v>км</v>
          </cell>
          <cell r="C43">
            <v>0</v>
          </cell>
        </row>
        <row r="44">
          <cell r="A44" t="str">
            <v>Провод САМОНЕСУЩ.АЛ.ЖИЛ.ПЭ.ИЗОЛЯЦ БЕЗ НЕСУЩ.ЖИЛ.НАП1КВ  СИП-4 4Х16</v>
          </cell>
          <cell r="B44" t="str">
            <v>км</v>
          </cell>
          <cell r="C44">
            <v>68745</v>
          </cell>
        </row>
        <row r="45">
          <cell r="A45" t="str">
            <v>Провод САМОНЕСУЩ.АЛ.ЖИЛ.ПЭ.ИЗОЛЯЦ БЕЗ НЕСУЩ.ЖИЛ.НАП1КВ  СИП-4 4Х16 Б/У</v>
          </cell>
          <cell r="B45" t="str">
            <v>км</v>
          </cell>
          <cell r="C45">
            <v>0</v>
          </cell>
        </row>
        <row r="46">
          <cell r="A46" t="str">
            <v>Провод САМОНЕСУЩ.АЛ.ЖИЛ.ПЭ.ИЗОЛЯЦ С НЕСУЩ.ИЗОЛ.ЖИЛ.НАП1КВ  СИП-2 3Х50+1Х54.6</v>
          </cell>
          <cell r="B46" t="str">
            <v>км</v>
          </cell>
          <cell r="C46">
            <v>150000</v>
          </cell>
        </row>
        <row r="47">
          <cell r="A47" t="str">
            <v>Провод САМОНЕСУЩ.АЛ.ЖИЛ.ПЭ.ИЗОЛЯЦ С НЕСУЩ.ИЗОЛ.ЖИЛ.НАП1КВ  СИП-2 3Х50+1Х54.6 Б/У</v>
          </cell>
          <cell r="B47" t="str">
            <v>км</v>
          </cell>
          <cell r="C47">
            <v>0</v>
          </cell>
        </row>
        <row r="48">
          <cell r="A48" t="str">
            <v>Провод САМОНЕСУЩ.АЛ.ЖИЛ.ПЭ.ИЗОЛЯЦ С НЕСУЩ.ИЗОЛ.ЖИЛ.НАП1КВ  СИП-2 3Х70+1Х54.6</v>
          </cell>
          <cell r="B48" t="str">
            <v>км</v>
          </cell>
          <cell r="C48">
            <v>190000</v>
          </cell>
        </row>
        <row r="49">
          <cell r="A49" t="str">
            <v>Провод СКРУЧЕННЫЙ ИЗ АЛЮМИНИЕВЫХ ПРОВОЛОК СЕЧЕН.50ММ\2  А 50</v>
          </cell>
          <cell r="B49" t="str">
            <v>т</v>
          </cell>
          <cell r="C49">
            <v>282076.83333333337</v>
          </cell>
        </row>
        <row r="50">
          <cell r="A50" t="str">
            <v>Скрепа С 20</v>
          </cell>
          <cell r="B50" t="str">
            <v>упак/100шт</v>
          </cell>
          <cell r="C50">
            <v>600</v>
          </cell>
        </row>
        <row r="51">
          <cell r="A51" t="str">
            <v>Уайт-Спирит мелкая фасовка</v>
          </cell>
          <cell r="B51" t="str">
            <v>кг</v>
          </cell>
          <cell r="C51">
            <v>60.2</v>
          </cell>
        </row>
        <row r="52">
          <cell r="A52" t="str">
            <v>Электрод МР-3C Ф 3 мм</v>
          </cell>
          <cell r="B52" t="str">
            <v>кг</v>
          </cell>
          <cell r="C52">
            <v>88.38</v>
          </cell>
        </row>
        <row r="53">
          <cell r="A53" t="str">
            <v>Эмаль ПФ-115 мелкая фасовка желтая</v>
          </cell>
          <cell r="B53" t="str">
            <v>кг</v>
          </cell>
          <cell r="C53">
            <v>96.490000000000009</v>
          </cell>
        </row>
        <row r="54">
          <cell r="A54" t="str">
            <v>Эмаль ПФ-115 мелкая фасовка зеленая</v>
          </cell>
          <cell r="B54" t="str">
            <v>кг</v>
          </cell>
          <cell r="C54">
            <v>96.490000000000009</v>
          </cell>
        </row>
        <row r="55">
          <cell r="A55" t="str">
            <v>Эмаль ПФ-115 мелкая фасовка красная</v>
          </cell>
          <cell r="B55" t="str">
            <v>кг</v>
          </cell>
          <cell r="C55">
            <v>96.490000000000009</v>
          </cell>
        </row>
        <row r="56">
          <cell r="A56" t="str">
            <v>Эмаль ПФ-115 мелкая фасовка серая</v>
          </cell>
          <cell r="B56" t="str">
            <v>кг</v>
          </cell>
          <cell r="C56">
            <v>96.49</v>
          </cell>
        </row>
        <row r="57">
          <cell r="A57" t="str">
            <v>Эмаль ПФ-115 мелкая фасовка черная</v>
          </cell>
          <cell r="B57" t="str">
            <v>кг</v>
          </cell>
          <cell r="C57">
            <v>86.470000000000013</v>
          </cell>
        </row>
        <row r="58">
          <cell r="C58">
            <v>0</v>
          </cell>
        </row>
        <row r="59">
          <cell r="C59">
            <v>0</v>
          </cell>
        </row>
        <row r="60">
          <cell r="C60">
            <v>0</v>
          </cell>
        </row>
        <row r="61">
          <cell r="C61">
            <v>0</v>
          </cell>
        </row>
        <row r="62">
          <cell r="C62">
            <v>0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k-ps.ru/spravochnik/provoda-izolirovannyie/dlya-vozdushnyix-linij-peredach/sip-2/provod-sip-2-3%D1%8570_1%D1%8554_6.html" TargetMode="External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k-ps.ru/spravochnik/provoda-izolirovannyie/dlya-vozdushnyix-linij-peredach/sip-2/provod-sip-2-3%D1%8570_1%D1%8554_6.html" TargetMode="External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k-ps.ru/spravochnik/provoda-izolirovannyie/dlya-vozdushnyix-linij-peredach/sip-2/provod-sip-2-3%D1%8570_1%D1%8554_6.html" TargetMode="External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k-ps.ru/spravochnik/provoda-izolirovannyie/dlya-vozdushnyix-linij-peredach/sip-2/provod-sip-2-3%D1%8570_1%D1%8554_6.html" TargetMode="External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workbookViewId="0">
      <selection activeCell="G72" sqref="G72"/>
    </sheetView>
  </sheetViews>
  <sheetFormatPr defaultRowHeight="12.75" outlineLevelRow="2"/>
  <cols>
    <col min="1" max="1" width="43" style="222" customWidth="1"/>
    <col min="2" max="4" width="9.140625" style="222"/>
  </cols>
  <sheetData>
    <row r="1" spans="1:9">
      <c r="A1" s="222" t="s">
        <v>215</v>
      </c>
      <c r="B1" s="222" t="s">
        <v>215</v>
      </c>
      <c r="C1" s="222" t="s">
        <v>215</v>
      </c>
      <c r="D1" s="222" t="s">
        <v>215</v>
      </c>
    </row>
    <row r="2" spans="1:9" hidden="1" outlineLevel="2">
      <c r="A2" s="222" t="s">
        <v>226</v>
      </c>
      <c r="B2" s="222" t="s">
        <v>227</v>
      </c>
      <c r="C2" s="222">
        <v>7</v>
      </c>
      <c r="D2" s="222" t="s">
        <v>228</v>
      </c>
    </row>
    <row r="3" spans="1:9" hidden="1" outlineLevel="2">
      <c r="A3" s="223" t="s">
        <v>226</v>
      </c>
      <c r="B3" s="223" t="s">
        <v>227</v>
      </c>
      <c r="C3" s="223">
        <v>7</v>
      </c>
      <c r="D3" s="223" t="s">
        <v>228</v>
      </c>
    </row>
    <row r="4" spans="1:9" s="178" customFormat="1" outlineLevel="1" collapsed="1">
      <c r="A4" s="225" t="s">
        <v>272</v>
      </c>
      <c r="B4" s="223"/>
      <c r="C4" s="223">
        <f>SUBTOTAL(9,C2:C3)</f>
        <v>14</v>
      </c>
      <c r="D4" s="223"/>
    </row>
    <row r="5" spans="1:9" hidden="1" outlineLevel="2">
      <c r="A5" s="222" t="s">
        <v>231</v>
      </c>
      <c r="B5" s="222" t="s">
        <v>227</v>
      </c>
      <c r="C5" s="222">
        <v>1</v>
      </c>
      <c r="D5" s="222" t="s">
        <v>228</v>
      </c>
    </row>
    <row r="6" spans="1:9" hidden="1" outlineLevel="2">
      <c r="A6" s="223" t="s">
        <v>231</v>
      </c>
      <c r="B6" s="223" t="s">
        <v>227</v>
      </c>
      <c r="C6" s="223">
        <v>1</v>
      </c>
      <c r="D6" s="223" t="s">
        <v>228</v>
      </c>
    </row>
    <row r="7" spans="1:9" s="178" customFormat="1" outlineLevel="1" collapsed="1">
      <c r="A7" s="225" t="s">
        <v>273</v>
      </c>
      <c r="B7" s="223"/>
      <c r="C7" s="223">
        <f>SUBTOTAL(9,C5:C6)</f>
        <v>2</v>
      </c>
      <c r="D7" s="223"/>
    </row>
    <row r="8" spans="1:9" hidden="1" outlineLevel="2">
      <c r="A8" s="222" t="s">
        <v>30</v>
      </c>
      <c r="B8" s="222" t="s">
        <v>217</v>
      </c>
      <c r="C8" s="222">
        <v>8</v>
      </c>
      <c r="D8" s="222" t="s">
        <v>228</v>
      </c>
    </row>
    <row r="9" spans="1:9" hidden="1" outlineLevel="2">
      <c r="A9" s="223" t="s">
        <v>30</v>
      </c>
      <c r="B9" s="223" t="s">
        <v>217</v>
      </c>
      <c r="C9" s="223">
        <v>8</v>
      </c>
      <c r="D9" s="223" t="s">
        <v>228</v>
      </c>
    </row>
    <row r="10" spans="1:9" s="178" customFormat="1" outlineLevel="1" collapsed="1">
      <c r="A10" s="225" t="s">
        <v>274</v>
      </c>
      <c r="B10" s="223"/>
      <c r="C10" s="223">
        <f>SUBTOTAL(9,C8:C9)</f>
        <v>16</v>
      </c>
      <c r="D10" s="223"/>
    </row>
    <row r="11" spans="1:9" hidden="1" outlineLevel="2">
      <c r="A11" s="222" t="s">
        <v>230</v>
      </c>
      <c r="B11" s="222" t="s">
        <v>217</v>
      </c>
      <c r="C11" s="222">
        <v>16</v>
      </c>
      <c r="D11" s="222" t="s">
        <v>142</v>
      </c>
    </row>
    <row r="12" spans="1:9" hidden="1" outlineLevel="2">
      <c r="A12" s="223" t="s">
        <v>230</v>
      </c>
      <c r="B12" s="223" t="s">
        <v>217</v>
      </c>
      <c r="C12" s="223">
        <v>16</v>
      </c>
      <c r="D12" s="223" t="s">
        <v>142</v>
      </c>
    </row>
    <row r="13" spans="1:9" s="178" customFormat="1" outlineLevel="1" collapsed="1">
      <c r="A13" s="225" t="s">
        <v>275</v>
      </c>
      <c r="B13" s="223"/>
      <c r="C13" s="223">
        <f>SUBTOTAL(9,C11:C12)</f>
        <v>32</v>
      </c>
      <c r="D13" s="223"/>
      <c r="E13" s="226">
        <f>+C13-H13*100</f>
        <v>0</v>
      </c>
      <c r="F13" s="231" t="s">
        <v>299</v>
      </c>
      <c r="G13" s="233" t="s">
        <v>300</v>
      </c>
      <c r="H13" s="230">
        <v>0.32</v>
      </c>
      <c r="I13" s="230" t="s">
        <v>298</v>
      </c>
    </row>
    <row r="14" spans="1:9" hidden="1" outlineLevel="2">
      <c r="A14" s="222" t="s">
        <v>248</v>
      </c>
      <c r="B14" s="222" t="s">
        <v>217</v>
      </c>
      <c r="C14" s="222">
        <v>4</v>
      </c>
      <c r="D14" s="222" t="s">
        <v>142</v>
      </c>
      <c r="E14" s="226">
        <f t="shared" ref="E14:E24" si="0">+C14-H14*100</f>
        <v>4</v>
      </c>
    </row>
    <row r="15" spans="1:9" hidden="1" outlineLevel="2">
      <c r="A15" s="222" t="s">
        <v>248</v>
      </c>
      <c r="B15" s="222" t="s">
        <v>217</v>
      </c>
      <c r="C15" s="222">
        <v>14</v>
      </c>
      <c r="D15" s="222" t="s">
        <v>142</v>
      </c>
      <c r="E15" s="226">
        <f t="shared" si="0"/>
        <v>14</v>
      </c>
    </row>
    <row r="16" spans="1:9" hidden="1" outlineLevel="2">
      <c r="A16" s="223" t="s">
        <v>248</v>
      </c>
      <c r="B16" s="223" t="s">
        <v>217</v>
      </c>
      <c r="C16" s="223">
        <v>4</v>
      </c>
      <c r="D16" s="223" t="s">
        <v>142</v>
      </c>
      <c r="E16" s="226">
        <f t="shared" si="0"/>
        <v>4</v>
      </c>
    </row>
    <row r="17" spans="1:9" hidden="1" outlineLevel="2">
      <c r="A17" s="223" t="s">
        <v>248</v>
      </c>
      <c r="B17" s="223" t="s">
        <v>217</v>
      </c>
      <c r="C17" s="223">
        <v>14</v>
      </c>
      <c r="D17" s="223" t="s">
        <v>142</v>
      </c>
      <c r="E17" s="226">
        <f t="shared" si="0"/>
        <v>14</v>
      </c>
    </row>
    <row r="18" spans="1:9" s="178" customFormat="1" outlineLevel="1" collapsed="1">
      <c r="A18" s="225" t="s">
        <v>276</v>
      </c>
      <c r="B18" s="223"/>
      <c r="C18" s="223">
        <f>SUBTOTAL(9,C14:C17)</f>
        <v>36</v>
      </c>
      <c r="D18" s="223"/>
      <c r="E18" s="226">
        <f t="shared" si="0"/>
        <v>0</v>
      </c>
      <c r="F18" s="231" t="s">
        <v>302</v>
      </c>
      <c r="G18" s="233" t="s">
        <v>303</v>
      </c>
      <c r="H18" s="230">
        <v>0.36</v>
      </c>
      <c r="I18" s="230" t="s">
        <v>301</v>
      </c>
    </row>
    <row r="19" spans="1:9" hidden="1" outlineLevel="2">
      <c r="A19" s="222" t="s">
        <v>222</v>
      </c>
      <c r="B19" s="222" t="s">
        <v>217</v>
      </c>
      <c r="C19" s="222">
        <v>3</v>
      </c>
      <c r="D19" s="222" t="s">
        <v>142</v>
      </c>
      <c r="E19" s="226">
        <f t="shared" si="0"/>
        <v>3</v>
      </c>
    </row>
    <row r="20" spans="1:9" hidden="1" outlineLevel="2">
      <c r="A20" s="222" t="s">
        <v>222</v>
      </c>
      <c r="B20" s="222" t="s">
        <v>217</v>
      </c>
      <c r="C20" s="222">
        <v>10</v>
      </c>
      <c r="D20" s="222" t="s">
        <v>142</v>
      </c>
      <c r="E20" s="226">
        <f t="shared" si="0"/>
        <v>10</v>
      </c>
    </row>
    <row r="21" spans="1:9" hidden="1" outlineLevel="2">
      <c r="A21" s="222" t="s">
        <v>222</v>
      </c>
      <c r="B21" s="222" t="s">
        <v>217</v>
      </c>
      <c r="C21" s="222">
        <v>10</v>
      </c>
      <c r="D21" s="222" t="s">
        <v>142</v>
      </c>
      <c r="E21" s="226">
        <f t="shared" si="0"/>
        <v>10</v>
      </c>
    </row>
    <row r="22" spans="1:9" hidden="1" outlineLevel="2">
      <c r="A22" s="223" t="s">
        <v>222</v>
      </c>
      <c r="B22" s="223" t="s">
        <v>217</v>
      </c>
      <c r="C22" s="223">
        <v>3</v>
      </c>
      <c r="D22" s="223" t="s">
        <v>142</v>
      </c>
      <c r="E22" s="226">
        <f t="shared" si="0"/>
        <v>3</v>
      </c>
    </row>
    <row r="23" spans="1:9" hidden="1" outlineLevel="2">
      <c r="A23" s="223" t="s">
        <v>222</v>
      </c>
      <c r="B23" s="223" t="s">
        <v>217</v>
      </c>
      <c r="C23" s="223">
        <v>4</v>
      </c>
      <c r="D23" s="223" t="s">
        <v>142</v>
      </c>
      <c r="E23" s="226">
        <f t="shared" si="0"/>
        <v>4</v>
      </c>
    </row>
    <row r="24" spans="1:9" hidden="1" outlineLevel="2">
      <c r="A24" s="223" t="s">
        <v>222</v>
      </c>
      <c r="B24" s="223" t="s">
        <v>217</v>
      </c>
      <c r="C24" s="223">
        <v>7</v>
      </c>
      <c r="D24" s="223" t="s">
        <v>142</v>
      </c>
      <c r="E24" s="226">
        <f t="shared" si="0"/>
        <v>7</v>
      </c>
    </row>
    <row r="25" spans="1:9" s="178" customFormat="1" outlineLevel="1" collapsed="1">
      <c r="A25" s="225" t="s">
        <v>277</v>
      </c>
      <c r="B25" s="223"/>
      <c r="C25" s="223">
        <f>SUBTOTAL(9,C19:C24)</f>
        <v>37</v>
      </c>
      <c r="D25" s="223"/>
      <c r="E25" s="227">
        <f>C25-H25</f>
        <v>0</v>
      </c>
      <c r="F25" s="231" t="s">
        <v>313</v>
      </c>
      <c r="G25" s="233" t="s">
        <v>15</v>
      </c>
      <c r="H25" s="230">
        <v>37</v>
      </c>
      <c r="I25" s="230" t="s">
        <v>312</v>
      </c>
    </row>
    <row r="26" spans="1:9" hidden="1" outlineLevel="2">
      <c r="A26" s="222" t="s">
        <v>19</v>
      </c>
      <c r="B26" s="222" t="s">
        <v>217</v>
      </c>
      <c r="C26" s="222">
        <v>80</v>
      </c>
      <c r="D26" s="222" t="s">
        <v>228</v>
      </c>
      <c r="E26" s="227">
        <f t="shared" ref="E26:E69" si="1">C26-H26</f>
        <v>80</v>
      </c>
    </row>
    <row r="27" spans="1:9" hidden="1" outlineLevel="2">
      <c r="A27" s="223" t="s">
        <v>19</v>
      </c>
      <c r="B27" s="223" t="s">
        <v>217</v>
      </c>
      <c r="C27" s="223">
        <v>44</v>
      </c>
      <c r="D27" s="223" t="s">
        <v>228</v>
      </c>
      <c r="E27" s="227">
        <f t="shared" si="1"/>
        <v>44</v>
      </c>
    </row>
    <row r="28" spans="1:9" s="178" customFormat="1" outlineLevel="1" collapsed="1">
      <c r="A28" s="225" t="s">
        <v>278</v>
      </c>
      <c r="B28" s="223"/>
      <c r="C28" s="223">
        <f>SUBTOTAL(9,C26:C27)</f>
        <v>124</v>
      </c>
      <c r="D28" s="223"/>
      <c r="E28" s="227">
        <f t="shared" si="1"/>
        <v>124</v>
      </c>
    </row>
    <row r="29" spans="1:9" hidden="1" outlineLevel="2">
      <c r="A29" s="222" t="s">
        <v>259</v>
      </c>
      <c r="B29" s="222" t="s">
        <v>217</v>
      </c>
      <c r="C29" s="222">
        <v>40</v>
      </c>
      <c r="D29" s="222" t="s">
        <v>142</v>
      </c>
      <c r="E29" s="227">
        <f t="shared" si="1"/>
        <v>40</v>
      </c>
    </row>
    <row r="30" spans="1:9" hidden="1" outlineLevel="2">
      <c r="A30" s="222" t="s">
        <v>259</v>
      </c>
      <c r="B30" s="222" t="s">
        <v>217</v>
      </c>
      <c r="C30" s="222">
        <v>40</v>
      </c>
      <c r="D30" s="222" t="s">
        <v>142</v>
      </c>
      <c r="E30" s="227">
        <f t="shared" si="1"/>
        <v>40</v>
      </c>
    </row>
    <row r="31" spans="1:9" hidden="1" outlineLevel="2">
      <c r="A31" s="223" t="s">
        <v>259</v>
      </c>
      <c r="B31" s="223" t="s">
        <v>217</v>
      </c>
      <c r="C31" s="223">
        <v>16</v>
      </c>
      <c r="D31" s="223" t="s">
        <v>142</v>
      </c>
      <c r="E31" s="227">
        <f t="shared" si="1"/>
        <v>16</v>
      </c>
    </row>
    <row r="32" spans="1:9" hidden="1" outlineLevel="2">
      <c r="A32" s="223" t="s">
        <v>259</v>
      </c>
      <c r="B32" s="223" t="s">
        <v>217</v>
      </c>
      <c r="C32" s="223">
        <v>28</v>
      </c>
      <c r="D32" s="223" t="s">
        <v>142</v>
      </c>
      <c r="E32" s="227">
        <f t="shared" si="1"/>
        <v>28</v>
      </c>
    </row>
    <row r="33" spans="1:9" s="178" customFormat="1" outlineLevel="1" collapsed="1">
      <c r="A33" s="225" t="s">
        <v>279</v>
      </c>
      <c r="B33" s="223"/>
      <c r="C33" s="223">
        <f>SUBTOTAL(9,C29:C32)</f>
        <v>124</v>
      </c>
      <c r="D33" s="223"/>
      <c r="E33" s="227">
        <f>C33-H33*100</f>
        <v>0</v>
      </c>
      <c r="F33" s="231" t="s">
        <v>305</v>
      </c>
      <c r="G33" s="233" t="s">
        <v>300</v>
      </c>
      <c r="H33" s="230">
        <v>1.24</v>
      </c>
      <c r="I33" s="230" t="s">
        <v>304</v>
      </c>
    </row>
    <row r="34" spans="1:9" hidden="1" outlineLevel="2">
      <c r="A34" s="222" t="s">
        <v>174</v>
      </c>
      <c r="B34" s="222" t="s">
        <v>16</v>
      </c>
      <c r="C34" s="222">
        <v>4</v>
      </c>
      <c r="D34" s="222" t="s">
        <v>142</v>
      </c>
      <c r="E34" s="227">
        <f t="shared" si="1"/>
        <v>4</v>
      </c>
    </row>
    <row r="35" spans="1:9" hidden="1" outlineLevel="2">
      <c r="A35" s="222" t="s">
        <v>174</v>
      </c>
      <c r="B35" s="222" t="s">
        <v>16</v>
      </c>
      <c r="C35" s="222">
        <v>4</v>
      </c>
      <c r="D35" s="222" t="s">
        <v>142</v>
      </c>
      <c r="E35" s="227">
        <f t="shared" si="1"/>
        <v>4</v>
      </c>
    </row>
    <row r="36" spans="1:9" hidden="1" outlineLevel="2">
      <c r="A36" s="223" t="s">
        <v>174</v>
      </c>
      <c r="B36" s="223" t="s">
        <v>16</v>
      </c>
      <c r="C36" s="223">
        <v>1.6</v>
      </c>
      <c r="D36" s="223" t="s">
        <v>142</v>
      </c>
      <c r="E36" s="227">
        <f t="shared" si="1"/>
        <v>1.6</v>
      </c>
    </row>
    <row r="37" spans="1:9" hidden="1" outlineLevel="2">
      <c r="A37" s="223" t="s">
        <v>174</v>
      </c>
      <c r="B37" s="223" t="s">
        <v>16</v>
      </c>
      <c r="C37" s="223">
        <v>2.8000000000000003</v>
      </c>
      <c r="D37" s="223" t="s">
        <v>142</v>
      </c>
      <c r="E37" s="227">
        <f t="shared" si="1"/>
        <v>2.8000000000000003</v>
      </c>
    </row>
    <row r="38" spans="1:9" s="178" customFormat="1" outlineLevel="1" collapsed="1">
      <c r="A38" s="225" t="s">
        <v>280</v>
      </c>
      <c r="B38" s="223"/>
      <c r="C38" s="223">
        <f>SUBTOTAL(9,C34:C37)</f>
        <v>12.4</v>
      </c>
      <c r="D38" s="223"/>
      <c r="E38" s="227">
        <f>C38-H38*1000</f>
        <v>0</v>
      </c>
      <c r="F38" s="231" t="s">
        <v>297</v>
      </c>
      <c r="G38" s="233" t="s">
        <v>27</v>
      </c>
      <c r="H38" s="230">
        <v>1.24E-2</v>
      </c>
      <c r="I38" s="230" t="s">
        <v>296</v>
      </c>
    </row>
    <row r="39" spans="1:9" hidden="1" outlineLevel="2">
      <c r="A39" s="222" t="s">
        <v>169</v>
      </c>
      <c r="B39" s="222" t="s">
        <v>217</v>
      </c>
      <c r="C39" s="222">
        <v>10</v>
      </c>
      <c r="D39" s="222" t="s">
        <v>142</v>
      </c>
      <c r="E39" s="227">
        <f t="shared" si="1"/>
        <v>10</v>
      </c>
    </row>
    <row r="40" spans="1:9" hidden="1" outlineLevel="2">
      <c r="A40" s="223" t="s">
        <v>169</v>
      </c>
      <c r="B40" s="223" t="s">
        <v>217</v>
      </c>
      <c r="C40" s="223">
        <v>7</v>
      </c>
      <c r="D40" s="223" t="s">
        <v>142</v>
      </c>
      <c r="E40" s="227">
        <f t="shared" si="1"/>
        <v>7</v>
      </c>
    </row>
    <row r="41" spans="1:9" s="178" customFormat="1" outlineLevel="1" collapsed="1">
      <c r="A41" s="225" t="s">
        <v>281</v>
      </c>
      <c r="B41" s="223"/>
      <c r="C41" s="223">
        <f>SUBTOTAL(9,C39:C40)</f>
        <v>17</v>
      </c>
      <c r="D41" s="223"/>
      <c r="E41" s="227">
        <f t="shared" si="1"/>
        <v>0</v>
      </c>
      <c r="F41" s="231" t="s">
        <v>309</v>
      </c>
      <c r="G41" s="233" t="s">
        <v>15</v>
      </c>
      <c r="H41" s="230">
        <v>17</v>
      </c>
      <c r="I41" s="230" t="s">
        <v>308</v>
      </c>
    </row>
    <row r="42" spans="1:9" hidden="1" outlineLevel="2">
      <c r="A42" s="222" t="s">
        <v>92</v>
      </c>
      <c r="B42" s="222" t="s">
        <v>16</v>
      </c>
      <c r="C42" s="222">
        <v>67</v>
      </c>
      <c r="D42" s="222" t="s">
        <v>142</v>
      </c>
      <c r="E42" s="227">
        <f t="shared" si="1"/>
        <v>67</v>
      </c>
    </row>
    <row r="43" spans="1:9" hidden="1" outlineLevel="2">
      <c r="A43" s="223" t="s">
        <v>92</v>
      </c>
      <c r="B43" s="223" t="s">
        <v>16</v>
      </c>
      <c r="C43" s="223">
        <v>40.9</v>
      </c>
      <c r="D43" s="223" t="s">
        <v>142</v>
      </c>
      <c r="E43" s="227">
        <f t="shared" si="1"/>
        <v>40.9</v>
      </c>
    </row>
    <row r="44" spans="1:9" s="178" customFormat="1" outlineLevel="1" collapsed="1">
      <c r="A44" s="225" t="s">
        <v>282</v>
      </c>
      <c r="B44" s="223"/>
      <c r="C44" s="223">
        <f>SUBTOTAL(9,C42:C43)</f>
        <v>107.9</v>
      </c>
      <c r="D44" s="223"/>
      <c r="E44" s="227">
        <f t="shared" si="1"/>
        <v>0</v>
      </c>
      <c r="F44" s="231" t="s">
        <v>311</v>
      </c>
      <c r="G44" s="233" t="s">
        <v>16</v>
      </c>
      <c r="H44" s="230">
        <v>107.9</v>
      </c>
      <c r="I44" s="230" t="s">
        <v>310</v>
      </c>
    </row>
    <row r="45" spans="1:9" hidden="1" outlineLevel="2">
      <c r="A45" s="222" t="s">
        <v>252</v>
      </c>
      <c r="B45" s="222" t="s">
        <v>14</v>
      </c>
      <c r="C45" s="222">
        <v>2.4</v>
      </c>
      <c r="D45" s="222" t="s">
        <v>228</v>
      </c>
      <c r="E45" s="227">
        <f t="shared" si="1"/>
        <v>2.4</v>
      </c>
    </row>
    <row r="46" spans="1:9" hidden="1" outlineLevel="2">
      <c r="A46" s="223" t="s">
        <v>252</v>
      </c>
      <c r="B46" s="223" t="s">
        <v>14</v>
      </c>
      <c r="C46" s="223">
        <v>1.3199999999999998</v>
      </c>
      <c r="D46" s="223" t="s">
        <v>228</v>
      </c>
      <c r="E46" s="227">
        <f t="shared" si="1"/>
        <v>1.3199999999999998</v>
      </c>
    </row>
    <row r="47" spans="1:9" s="178" customFormat="1" outlineLevel="1" collapsed="1">
      <c r="A47" s="225" t="s">
        <v>283</v>
      </c>
      <c r="B47" s="223"/>
      <c r="C47" s="223">
        <f>SUBTOTAL(9,C45:C46)</f>
        <v>3.7199999999999998</v>
      </c>
      <c r="D47" s="223"/>
      <c r="E47" s="227"/>
    </row>
    <row r="48" spans="1:9" hidden="1" outlineLevel="2">
      <c r="A48" s="222" t="s">
        <v>260</v>
      </c>
      <c r="B48" s="222" t="s">
        <v>170</v>
      </c>
      <c r="C48" s="222">
        <v>120</v>
      </c>
      <c r="D48" s="222" t="s">
        <v>142</v>
      </c>
      <c r="E48" s="227">
        <f t="shared" si="1"/>
        <v>120</v>
      </c>
      <c r="F48">
        <f>72+48</f>
        <v>120</v>
      </c>
    </row>
    <row r="49" spans="1:10" hidden="1" outlineLevel="2">
      <c r="A49" s="223" t="s">
        <v>260</v>
      </c>
      <c r="B49" s="223" t="s">
        <v>170</v>
      </c>
      <c r="C49" s="223">
        <v>66</v>
      </c>
      <c r="D49" s="223" t="s">
        <v>142</v>
      </c>
      <c r="E49" s="227">
        <f t="shared" si="1"/>
        <v>66</v>
      </c>
      <c r="F49">
        <f>24+42</f>
        <v>66</v>
      </c>
    </row>
    <row r="50" spans="1:10" s="178" customFormat="1" outlineLevel="1" collapsed="1">
      <c r="A50" s="225" t="s">
        <v>284</v>
      </c>
      <c r="B50" s="223"/>
      <c r="C50" s="223">
        <f>SUBTOTAL(9,C48:C49)</f>
        <v>186</v>
      </c>
      <c r="D50" s="223"/>
      <c r="E50" s="227">
        <f>C50-H50*1000</f>
        <v>0</v>
      </c>
      <c r="F50" s="231" t="s">
        <v>294</v>
      </c>
      <c r="G50" s="233" t="s">
        <v>295</v>
      </c>
      <c r="H50" s="230" t="s">
        <v>328</v>
      </c>
      <c r="I50" s="230" t="s">
        <v>293</v>
      </c>
    </row>
    <row r="51" spans="1:10" hidden="1" outlineLevel="2">
      <c r="A51" s="222" t="s">
        <v>221</v>
      </c>
      <c r="B51" s="222" t="s">
        <v>170</v>
      </c>
      <c r="C51" s="222">
        <v>30</v>
      </c>
      <c r="D51" s="222" t="s">
        <v>142</v>
      </c>
      <c r="E51" s="227">
        <f t="shared" si="1"/>
        <v>30</v>
      </c>
    </row>
    <row r="52" spans="1:10" hidden="1" outlineLevel="2">
      <c r="A52" s="223" t="s">
        <v>221</v>
      </c>
      <c r="B52" s="223" t="s">
        <v>170</v>
      </c>
      <c r="C52" s="223">
        <v>30</v>
      </c>
      <c r="D52" s="223" t="s">
        <v>142</v>
      </c>
      <c r="E52" s="227">
        <f t="shared" si="1"/>
        <v>30</v>
      </c>
    </row>
    <row r="53" spans="1:10" s="178" customFormat="1" outlineLevel="1" collapsed="1">
      <c r="A53" s="225" t="s">
        <v>285</v>
      </c>
      <c r="B53" s="223"/>
      <c r="C53" s="223">
        <f>SUBTOTAL(9,C51:C52)*0.888</f>
        <v>53.28</v>
      </c>
      <c r="D53" s="223"/>
      <c r="E53" s="227">
        <f>C53-H53*1000</f>
        <v>0</v>
      </c>
      <c r="F53" s="231" t="s">
        <v>292</v>
      </c>
      <c r="G53" s="233" t="s">
        <v>27</v>
      </c>
      <c r="H53" s="230">
        <v>5.3280000000000001E-2</v>
      </c>
      <c r="I53" s="230" t="s">
        <v>291</v>
      </c>
      <c r="J53"/>
    </row>
    <row r="54" spans="1:10" hidden="1" outlineLevel="2">
      <c r="A54" s="222" t="s">
        <v>216</v>
      </c>
      <c r="B54" s="222" t="s">
        <v>217</v>
      </c>
      <c r="C54" s="222">
        <v>10</v>
      </c>
      <c r="D54" s="222" t="s">
        <v>142</v>
      </c>
      <c r="E54" s="227">
        <f t="shared" si="1"/>
        <v>10</v>
      </c>
    </row>
    <row r="55" spans="1:10" hidden="1" outlineLevel="2">
      <c r="A55" s="222" t="s">
        <v>216</v>
      </c>
      <c r="B55" s="222" t="s">
        <v>217</v>
      </c>
      <c r="C55" s="222">
        <v>20</v>
      </c>
      <c r="D55" s="222" t="s">
        <v>142</v>
      </c>
      <c r="E55" s="227">
        <f t="shared" si="1"/>
        <v>20</v>
      </c>
    </row>
    <row r="56" spans="1:10" hidden="1" outlineLevel="2">
      <c r="A56" s="223" t="s">
        <v>216</v>
      </c>
      <c r="B56" s="223" t="s">
        <v>217</v>
      </c>
      <c r="C56" s="223">
        <v>4</v>
      </c>
      <c r="D56" s="223" t="s">
        <v>142</v>
      </c>
      <c r="E56" s="227">
        <f t="shared" si="1"/>
        <v>4</v>
      </c>
    </row>
    <row r="57" spans="1:10" hidden="1" outlineLevel="2">
      <c r="A57" s="223" t="s">
        <v>216</v>
      </c>
      <c r="B57" s="223" t="s">
        <v>217</v>
      </c>
      <c r="C57" s="223">
        <v>14</v>
      </c>
      <c r="D57" s="223" t="s">
        <v>142</v>
      </c>
      <c r="E57" s="227">
        <f t="shared" si="1"/>
        <v>14</v>
      </c>
    </row>
    <row r="58" spans="1:10" s="178" customFormat="1" outlineLevel="1" collapsed="1">
      <c r="A58" s="225" t="s">
        <v>286</v>
      </c>
      <c r="B58" s="223"/>
      <c r="C58" s="223">
        <f>SUBTOTAL(9,C54:C57)</f>
        <v>48</v>
      </c>
      <c r="D58" s="223"/>
      <c r="E58" s="227">
        <f t="shared" si="1"/>
        <v>0</v>
      </c>
      <c r="F58" s="231" t="s">
        <v>216</v>
      </c>
      <c r="G58" s="233" t="s">
        <v>217</v>
      </c>
      <c r="H58" s="230">
        <v>48</v>
      </c>
      <c r="I58" s="230" t="s">
        <v>290</v>
      </c>
    </row>
    <row r="59" spans="1:10" hidden="1" outlineLevel="2">
      <c r="A59" s="222" t="s">
        <v>219</v>
      </c>
      <c r="B59" s="222" t="s">
        <v>217</v>
      </c>
      <c r="C59" s="222">
        <v>20</v>
      </c>
      <c r="D59" s="222" t="s">
        <v>142</v>
      </c>
      <c r="E59" s="227">
        <f t="shared" si="1"/>
        <v>20</v>
      </c>
    </row>
    <row r="60" spans="1:10" hidden="1" outlineLevel="2">
      <c r="A60" s="222" t="s">
        <v>219</v>
      </c>
      <c r="B60" s="222" t="s">
        <v>217</v>
      </c>
      <c r="C60" s="222">
        <v>20</v>
      </c>
      <c r="D60" s="222" t="s">
        <v>142</v>
      </c>
      <c r="E60" s="227">
        <f t="shared" si="1"/>
        <v>20</v>
      </c>
    </row>
    <row r="61" spans="1:10" hidden="1" outlineLevel="2">
      <c r="A61" s="223" t="s">
        <v>219</v>
      </c>
      <c r="B61" s="223" t="s">
        <v>217</v>
      </c>
      <c r="C61" s="223">
        <v>8</v>
      </c>
      <c r="D61" s="223" t="s">
        <v>142</v>
      </c>
      <c r="E61" s="227">
        <f t="shared" si="1"/>
        <v>8</v>
      </c>
    </row>
    <row r="62" spans="1:10" hidden="1" outlineLevel="2">
      <c r="A62" s="223" t="s">
        <v>219</v>
      </c>
      <c r="B62" s="223" t="s">
        <v>217</v>
      </c>
      <c r="C62" s="223">
        <v>14</v>
      </c>
      <c r="D62" s="223" t="s">
        <v>142</v>
      </c>
      <c r="E62" s="227">
        <f t="shared" si="1"/>
        <v>14</v>
      </c>
    </row>
    <row r="63" spans="1:10" s="178" customFormat="1" outlineLevel="1" collapsed="1">
      <c r="A63" s="225" t="s">
        <v>287</v>
      </c>
      <c r="B63" s="223"/>
      <c r="C63" s="223">
        <f>SUBTOTAL(9,C59:C62)</f>
        <v>62</v>
      </c>
      <c r="D63" s="223"/>
      <c r="E63" s="227">
        <f t="shared" si="1"/>
        <v>0</v>
      </c>
      <c r="F63" s="231" t="s">
        <v>315</v>
      </c>
      <c r="G63" s="233" t="s">
        <v>15</v>
      </c>
      <c r="H63" s="230">
        <v>62</v>
      </c>
      <c r="I63" s="230" t="s">
        <v>314</v>
      </c>
    </row>
    <row r="64" spans="1:10" hidden="1" outlineLevel="2">
      <c r="A64" s="222" t="s">
        <v>237</v>
      </c>
      <c r="B64" s="222" t="s">
        <v>217</v>
      </c>
      <c r="C64" s="222">
        <v>20</v>
      </c>
      <c r="D64" s="222" t="s">
        <v>142</v>
      </c>
      <c r="E64" s="227">
        <f t="shared" si="1"/>
        <v>20</v>
      </c>
    </row>
    <row r="65" spans="1:9" hidden="1" outlineLevel="2">
      <c r="A65" s="223" t="s">
        <v>237</v>
      </c>
      <c r="B65" s="223" t="s">
        <v>217</v>
      </c>
      <c r="C65" s="223">
        <v>8</v>
      </c>
      <c r="D65" s="223" t="s">
        <v>142</v>
      </c>
      <c r="E65" s="227">
        <f t="shared" si="1"/>
        <v>8</v>
      </c>
    </row>
    <row r="66" spans="1:9" s="178" customFormat="1" outlineLevel="1" collapsed="1">
      <c r="A66" s="225" t="s">
        <v>288</v>
      </c>
      <c r="B66" s="223"/>
      <c r="C66" s="223">
        <f>SUBTOTAL(9,C64:C65)</f>
        <v>28</v>
      </c>
      <c r="D66" s="223"/>
      <c r="E66" s="227">
        <f t="shared" si="1"/>
        <v>0</v>
      </c>
      <c r="F66" s="231" t="s">
        <v>317</v>
      </c>
      <c r="G66" s="233" t="s">
        <v>15</v>
      </c>
      <c r="H66" s="230">
        <v>28</v>
      </c>
      <c r="I66" s="230" t="s">
        <v>316</v>
      </c>
    </row>
    <row r="67" spans="1:9" hidden="1" outlineLevel="2">
      <c r="A67" s="222" t="s">
        <v>220</v>
      </c>
      <c r="B67" s="222" t="s">
        <v>217</v>
      </c>
      <c r="C67" s="222">
        <v>20</v>
      </c>
      <c r="D67" s="222" t="s">
        <v>142</v>
      </c>
      <c r="E67" s="227">
        <f t="shared" si="1"/>
        <v>20</v>
      </c>
    </row>
    <row r="68" spans="1:9" hidden="1" outlineLevel="2">
      <c r="A68" s="223" t="s">
        <v>220</v>
      </c>
      <c r="B68" s="223" t="s">
        <v>217</v>
      </c>
      <c r="C68" s="223">
        <v>14</v>
      </c>
      <c r="D68" s="223" t="s">
        <v>142</v>
      </c>
      <c r="E68" s="227">
        <f t="shared" si="1"/>
        <v>14</v>
      </c>
    </row>
    <row r="69" spans="1:9" s="178" customFormat="1" outlineLevel="1" collapsed="1">
      <c r="A69" s="225" t="s">
        <v>289</v>
      </c>
      <c r="B69" s="223"/>
      <c r="C69" s="223">
        <f>SUBTOTAL(9,C67:C68)</f>
        <v>34</v>
      </c>
      <c r="D69" s="223"/>
      <c r="E69" s="227">
        <f t="shared" si="1"/>
        <v>0</v>
      </c>
      <c r="F69" s="231" t="s">
        <v>307</v>
      </c>
      <c r="G69" s="233" t="s">
        <v>15</v>
      </c>
      <c r="H69" s="230">
        <v>34</v>
      </c>
      <c r="I69" s="230" t="s">
        <v>306</v>
      </c>
    </row>
    <row r="70" spans="1:9" s="178" customFormat="1">
      <c r="A70" s="225" t="s">
        <v>271</v>
      </c>
      <c r="B70" s="223"/>
      <c r="C70" s="223">
        <f>SUBTOTAL(9,C2:C68)</f>
        <v>944.0200000000001</v>
      </c>
      <c r="D70" s="223"/>
    </row>
  </sheetData>
  <autoFilter ref="A1:D1">
    <sortState ref="A2:D51">
      <sortCondition ref="A1"/>
    </sortState>
  </autoFilter>
  <sortState ref="A1:D39">
    <sortCondition ref="D39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S62"/>
  <sheetViews>
    <sheetView view="pageBreakPreview" zoomScaleNormal="100" zoomScaleSheetLayoutView="100" workbookViewId="0">
      <selection activeCell="P46" sqref="P46"/>
    </sheetView>
  </sheetViews>
  <sheetFormatPr defaultRowHeight="12.75"/>
  <cols>
    <col min="1" max="1" width="48.42578125" style="87" customWidth="1"/>
    <col min="2" max="2" width="10.7109375" style="11" bestFit="1" customWidth="1"/>
    <col min="3" max="3" width="12" style="11" hidden="1" customWidth="1"/>
    <col min="4" max="4" width="14" style="11" hidden="1" customWidth="1"/>
    <col min="5" max="5" width="12.140625" style="11" customWidth="1"/>
    <col min="6" max="6" width="12.140625" style="11" hidden="1" customWidth="1"/>
    <col min="7" max="7" width="10.28515625" style="11" customWidth="1"/>
    <col min="8" max="9" width="10.28515625" style="11" bestFit="1" customWidth="1"/>
    <col min="10" max="10" width="11.7109375" style="11" customWidth="1"/>
    <col min="11" max="16" width="10.28515625" style="11" customWidth="1"/>
    <col min="17" max="17" width="10.28515625" style="11" bestFit="1" customWidth="1"/>
    <col min="18" max="18" width="10.42578125" style="11" bestFit="1" customWidth="1"/>
    <col min="19" max="16384" width="9.140625" style="11"/>
  </cols>
  <sheetData>
    <row r="1" spans="1:18">
      <c r="E1" s="103" t="s">
        <v>118</v>
      </c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5"/>
    </row>
    <row r="2" spans="1:18">
      <c r="E2" s="8" t="s">
        <v>120</v>
      </c>
      <c r="F2" s="8"/>
      <c r="G2" s="106">
        <v>44713</v>
      </c>
      <c r="H2" s="106" t="s">
        <v>121</v>
      </c>
      <c r="I2" s="106" t="s">
        <v>124</v>
      </c>
      <c r="J2" s="106" t="s">
        <v>124</v>
      </c>
      <c r="K2" s="107" t="s">
        <v>128</v>
      </c>
      <c r="L2" s="106" t="s">
        <v>128</v>
      </c>
      <c r="M2" s="8"/>
      <c r="N2" s="8" t="s">
        <v>120</v>
      </c>
      <c r="O2" s="8"/>
      <c r="P2" s="8"/>
      <c r="Q2" s="8"/>
      <c r="R2" s="8"/>
    </row>
    <row r="3" spans="1:18">
      <c r="E3" s="102" t="s">
        <v>119</v>
      </c>
      <c r="F3" s="102"/>
      <c r="G3" s="102" t="s">
        <v>122</v>
      </c>
      <c r="H3" s="102" t="s">
        <v>126</v>
      </c>
      <c r="I3" s="102" t="s">
        <v>123</v>
      </c>
      <c r="J3" s="102" t="s">
        <v>125</v>
      </c>
      <c r="K3" s="102" t="s">
        <v>127</v>
      </c>
      <c r="L3" s="102" t="s">
        <v>129</v>
      </c>
      <c r="M3" s="102"/>
      <c r="N3" s="102"/>
      <c r="O3" s="102"/>
      <c r="P3" s="102"/>
      <c r="Q3" s="8"/>
      <c r="R3" s="88" t="s">
        <v>95</v>
      </c>
    </row>
    <row r="4" spans="1:18">
      <c r="A4" s="40" t="str">
        <f>+Матер!A2</f>
        <v>Анкерный клиновой зажим РА 25*100</v>
      </c>
      <c r="B4" s="85" t="str">
        <f>+Матер!B2</f>
        <v>шт</v>
      </c>
      <c r="C4" s="86">
        <f>+Матер!C2</f>
        <v>66.81</v>
      </c>
      <c r="D4" s="86"/>
      <c r="E4" s="89" t="e">
        <f>SUMIF(#REF!,$A4,#REF!)</f>
        <v>#REF!</v>
      </c>
      <c r="F4" s="89"/>
      <c r="G4" s="89">
        <v>26</v>
      </c>
      <c r="H4" s="89">
        <f>SUMIF('Ф-2 596'!$I:$I,$A4,'Ф-2 596'!$K:$K)</f>
        <v>38</v>
      </c>
      <c r="I4" s="89" t="e">
        <f>SUMIF(#REF!,$A4,#REF!)</f>
        <v>#REF!</v>
      </c>
      <c r="J4" s="89" t="e">
        <f>SUMIF(#REF!,$A4,#REF!)</f>
        <v>#REF!</v>
      </c>
      <c r="K4" s="89">
        <f>SUMIF('Ф-1 583 '!$I:$I,$A4,'Ф-1 583 '!$K:$K)</f>
        <v>26</v>
      </c>
      <c r="L4" s="89">
        <v>22</v>
      </c>
      <c r="M4" s="89"/>
      <c r="N4" s="89">
        <v>74</v>
      </c>
      <c r="O4" s="89"/>
      <c r="P4" s="89"/>
      <c r="Q4" s="90"/>
      <c r="R4" s="23" t="e">
        <f t="shared" ref="R4:R35" si="0">SUM(E4:Q4)</f>
        <v>#REF!</v>
      </c>
    </row>
    <row r="5" spans="1:18">
      <c r="A5" s="40" t="str">
        <f>+Матер!A3</f>
        <v>Бандаж  (BIC-15.50)</v>
      </c>
      <c r="B5" s="85" t="str">
        <f>+Матер!B3</f>
        <v>шт</v>
      </c>
      <c r="C5" s="86">
        <f>+Матер!C3</f>
        <v>87.793000000000006</v>
      </c>
      <c r="D5" s="86"/>
      <c r="E5" s="89" t="e">
        <f>SUMIF(#REF!,$A5,#REF!)</f>
        <v>#REF!</v>
      </c>
      <c r="F5" s="89"/>
      <c r="G5" s="89" t="e">
        <f>SUMIF(#REF!,$A5,#REF!)</f>
        <v>#REF!</v>
      </c>
      <c r="H5" s="89">
        <f>SUMIF('Ф-2 596'!$I:$I,$A5,'Ф-2 596'!$K:$K)</f>
        <v>0</v>
      </c>
      <c r="I5" s="89" t="e">
        <f>SUMIF(#REF!,$A5,#REF!)</f>
        <v>#REF!</v>
      </c>
      <c r="J5" s="89" t="e">
        <f>SUMIF(#REF!,$A5,#REF!)</f>
        <v>#REF!</v>
      </c>
      <c r="K5" s="89">
        <f>SUMIF('Ф-1 583 '!$I:$I,$A5,'Ф-1 583 '!$K:$K)</f>
        <v>0</v>
      </c>
      <c r="L5" s="89" t="e">
        <f>SUMIF(#REF!,$A5,#REF!)</f>
        <v>#REF!</v>
      </c>
      <c r="M5" s="89"/>
      <c r="N5" s="89" t="e">
        <f>+E5+H5+J5</f>
        <v>#REF!</v>
      </c>
      <c r="O5" s="89"/>
      <c r="P5" s="89"/>
      <c r="Q5" s="90"/>
      <c r="R5" s="23" t="e">
        <f t="shared" si="0"/>
        <v>#REF!</v>
      </c>
    </row>
    <row r="6" spans="1:18">
      <c r="A6" s="40" t="str">
        <f>+Матер!A4</f>
        <v>Бугель NB 20</v>
      </c>
      <c r="B6" s="85" t="str">
        <f>+Матер!B4</f>
        <v>упак</v>
      </c>
      <c r="C6" s="86" t="e">
        <f>+Матер!#REF!</f>
        <v>#REF!</v>
      </c>
      <c r="D6" s="86"/>
      <c r="E6" s="89" t="e">
        <f>SUMIF(#REF!,$A6,#REF!)</f>
        <v>#REF!</v>
      </c>
      <c r="F6" s="89"/>
      <c r="G6" s="89" t="e">
        <f>SUMIF(#REF!,$A6,#REF!)</f>
        <v>#REF!</v>
      </c>
      <c r="H6" s="89">
        <f>SUMIF('Ф-2 596'!$I:$I,$A6,'Ф-2 596'!$K:$K)</f>
        <v>10</v>
      </c>
      <c r="I6" s="89" t="e">
        <f>SUMIF(#REF!,$A6,#REF!)</f>
        <v>#REF!</v>
      </c>
      <c r="J6" s="89" t="e">
        <f>SUMIF(#REF!,$A6,#REF!)</f>
        <v>#REF!</v>
      </c>
      <c r="K6" s="89">
        <f>SUMIF('Ф-1 583 '!$I:$I,$A6,'Ф-1 583 '!$K:$K)</f>
        <v>22</v>
      </c>
      <c r="L6" s="89" t="e">
        <f>SUMIF(#REF!,$A6,#REF!)</f>
        <v>#REF!</v>
      </c>
      <c r="M6" s="89"/>
      <c r="N6" s="89" t="e">
        <f>+E6+H6+J6</f>
        <v>#REF!</v>
      </c>
      <c r="O6" s="89"/>
      <c r="P6" s="89"/>
      <c r="Q6" s="90"/>
      <c r="R6" s="11" t="e">
        <f t="shared" si="0"/>
        <v>#REF!</v>
      </c>
    </row>
    <row r="7" spans="1:18">
      <c r="A7" s="40" t="str">
        <f>+Матер!A5</f>
        <v xml:space="preserve">Датчик ДДМ Б/У </v>
      </c>
      <c r="B7" s="85" t="str">
        <f>+Матер!B5</f>
        <v>шт</v>
      </c>
      <c r="C7" s="86" t="e">
        <f>+Матер!#REF!</f>
        <v>#REF!</v>
      </c>
      <c r="D7" s="86"/>
      <c r="E7" s="89" t="e">
        <f>SUMIF(#REF!,$A7,#REF!)</f>
        <v>#REF!</v>
      </c>
      <c r="F7" s="89"/>
      <c r="G7" s="89" t="e">
        <f>SUMIF(#REF!,$A7,#REF!)</f>
        <v>#REF!</v>
      </c>
      <c r="H7" s="89">
        <f>SUMIF('Ф-2 596'!$I:$I,$A7,'Ф-2 596'!$K:$K)</f>
        <v>25</v>
      </c>
      <c r="I7" s="89" t="e">
        <f>SUMIF(#REF!,$A7,#REF!)</f>
        <v>#REF!</v>
      </c>
      <c r="J7" s="89" t="e">
        <f>SUMIF(#REF!,$A7,#REF!)</f>
        <v>#REF!</v>
      </c>
      <c r="K7" s="89">
        <f>SUMIF('Ф-1 583 '!$I:$I,$A7,'Ф-1 583 '!$K:$K)</f>
        <v>15</v>
      </c>
      <c r="L7" s="89" t="e">
        <f>SUMIF(#REF!,$A7,#REF!)</f>
        <v>#REF!</v>
      </c>
      <c r="M7" s="89"/>
      <c r="N7" s="89" t="e">
        <f>+E7+H7+J7</f>
        <v>#REF!</v>
      </c>
      <c r="O7" s="89"/>
      <c r="P7" s="89"/>
      <c r="Q7" s="90"/>
      <c r="R7" s="11" t="e">
        <f t="shared" si="0"/>
        <v>#REF!</v>
      </c>
    </row>
    <row r="8" spans="1:18">
      <c r="A8" s="40" t="str">
        <f>+Матер!A6</f>
        <v>Зажим анкерный РА 1500</v>
      </c>
      <c r="B8" s="85" t="str">
        <f>+Матер!B6</f>
        <v>шт</v>
      </c>
      <c r="C8" s="86">
        <f>+Матер!C4</f>
        <v>987.06</v>
      </c>
      <c r="D8" s="86"/>
      <c r="E8" s="89" t="e">
        <f>SUMIF(#REF!,$A8,#REF!)</f>
        <v>#REF!</v>
      </c>
      <c r="F8" s="89"/>
      <c r="G8" s="89" t="e">
        <f>SUMIF(#REF!,$A8,#REF!)</f>
        <v>#REF!</v>
      </c>
      <c r="H8" s="89">
        <f>SUMIF('Ф-2 596'!$I:$I,$A8,'Ф-2 596'!$K:$K)</f>
        <v>10</v>
      </c>
      <c r="I8" s="89" t="e">
        <f>SUMIF(#REF!,$A8,#REF!)</f>
        <v>#REF!</v>
      </c>
      <c r="J8" s="89" t="e">
        <f>SUMIF(#REF!,$A8,#REF!)</f>
        <v>#REF!</v>
      </c>
      <c r="K8" s="89">
        <f>SUMIF('Ф-1 583 '!$I:$I,$A8,'Ф-1 583 '!$K:$K)</f>
        <v>22</v>
      </c>
      <c r="L8" s="89" t="e">
        <f>SUMIF(#REF!,$A8,#REF!)</f>
        <v>#REF!</v>
      </c>
      <c r="M8" s="89"/>
      <c r="N8" s="89" t="e">
        <f>+E8+H8+J8</f>
        <v>#REF!</v>
      </c>
      <c r="O8" s="89"/>
      <c r="P8" s="89"/>
      <c r="Q8" s="90"/>
      <c r="R8" s="23" t="e">
        <f t="shared" si="0"/>
        <v>#REF!</v>
      </c>
    </row>
    <row r="9" spans="1:18" hidden="1">
      <c r="A9" s="40" t="str">
        <f>+Матер!A7</f>
        <v>Зажим аппаратный А2А-120-Т</v>
      </c>
      <c r="B9" s="85" t="str">
        <f>+Матер!B7</f>
        <v>шт</v>
      </c>
      <c r="C9" s="86" t="e">
        <f>+Матер!#REF!</f>
        <v>#REF!</v>
      </c>
      <c r="D9" s="86"/>
      <c r="E9" s="89" t="e">
        <f>SUMIF(#REF!,$A9,#REF!)</f>
        <v>#REF!</v>
      </c>
      <c r="F9" s="89"/>
      <c r="G9" s="89" t="e">
        <f>SUMIF(#REF!,$A9,#REF!)</f>
        <v>#REF!</v>
      </c>
      <c r="H9" s="89">
        <f>SUMIF('Ф-2 596'!$I:$I,$A9,'Ф-2 596'!$K:$K)</f>
        <v>0</v>
      </c>
      <c r="I9" s="89" t="e">
        <f>SUMIF(#REF!,$A9,#REF!)</f>
        <v>#REF!</v>
      </c>
      <c r="J9" s="89" t="e">
        <f>SUMIF(#REF!,$A9,#REF!)</f>
        <v>#REF!</v>
      </c>
      <c r="K9" s="89">
        <f>SUMIF('Ф-1 583 '!$I:$I,$A9,'Ф-1 583 '!$K:$K)</f>
        <v>0</v>
      </c>
      <c r="L9" s="89" t="e">
        <f>SUMIF(#REF!,$A9,#REF!)</f>
        <v>#REF!</v>
      </c>
      <c r="M9" s="89"/>
      <c r="N9" s="89"/>
      <c r="O9" s="89"/>
      <c r="P9" s="89"/>
      <c r="Q9" s="90"/>
      <c r="R9" s="11" t="e">
        <f t="shared" si="0"/>
        <v>#REF!</v>
      </c>
    </row>
    <row r="10" spans="1:18" hidden="1">
      <c r="A10" s="40" t="str">
        <f>+Матер!A8</f>
        <v>Зажим аппаратный А2А-50-Т</v>
      </c>
      <c r="B10" s="85" t="str">
        <f>+Матер!B8</f>
        <v>шт</v>
      </c>
      <c r="C10" s="86" t="e">
        <f>+Матер!#REF!</f>
        <v>#REF!</v>
      </c>
      <c r="D10" s="86"/>
      <c r="E10" s="89" t="e">
        <f>SUMIF(#REF!,$A10,#REF!)</f>
        <v>#REF!</v>
      </c>
      <c r="F10" s="89"/>
      <c r="G10" s="89" t="e">
        <f>SUMIF(#REF!,$A10,#REF!)</f>
        <v>#REF!</v>
      </c>
      <c r="H10" s="89">
        <f>SUMIF('Ф-2 596'!$I:$I,$A10,'Ф-2 596'!$K:$K)</f>
        <v>0</v>
      </c>
      <c r="I10" s="89" t="e">
        <f>SUMIF(#REF!,$A10,#REF!)</f>
        <v>#REF!</v>
      </c>
      <c r="J10" s="89" t="e">
        <f>SUMIF(#REF!,$A10,#REF!)</f>
        <v>#REF!</v>
      </c>
      <c r="K10" s="89">
        <f>SUMIF('Ф-1 583 '!$I:$I,$A10,'Ф-1 583 '!$K:$K)</f>
        <v>0</v>
      </c>
      <c r="L10" s="89" t="e">
        <f>SUMIF(#REF!,$A10,#REF!)</f>
        <v>#REF!</v>
      </c>
      <c r="M10" s="89"/>
      <c r="N10" s="89"/>
      <c r="O10" s="89"/>
      <c r="P10" s="89"/>
      <c r="Q10" s="90"/>
      <c r="R10" s="11" t="e">
        <f t="shared" si="0"/>
        <v>#REF!</v>
      </c>
    </row>
    <row r="11" spans="1:18" hidden="1">
      <c r="A11" s="40" t="str">
        <f>+Матер!A9</f>
        <v>Зажим аппаратный А2А-95-Т</v>
      </c>
      <c r="B11" s="85" t="str">
        <f>+Матер!B9</f>
        <v>шт</v>
      </c>
      <c r="C11" s="86" t="e">
        <f>+Матер!#REF!</f>
        <v>#REF!</v>
      </c>
      <c r="D11" s="86"/>
      <c r="E11" s="89" t="e">
        <f>SUMIF(#REF!,$A11,#REF!)</f>
        <v>#REF!</v>
      </c>
      <c r="F11" s="89"/>
      <c r="G11" s="89" t="e">
        <f>SUMIF(#REF!,$A11,#REF!)</f>
        <v>#REF!</v>
      </c>
      <c r="H11" s="89">
        <f>SUMIF('Ф-2 596'!$I:$I,$A11,'Ф-2 596'!$K:$K)</f>
        <v>0</v>
      </c>
      <c r="I11" s="89" t="e">
        <f>SUMIF(#REF!,$A11,#REF!)</f>
        <v>#REF!</v>
      </c>
      <c r="J11" s="89" t="e">
        <f>SUMIF(#REF!,$A11,#REF!)</f>
        <v>#REF!</v>
      </c>
      <c r="K11" s="89">
        <f>SUMIF('Ф-1 583 '!$I:$I,$A11,'Ф-1 583 '!$K:$K)</f>
        <v>0</v>
      </c>
      <c r="L11" s="89" t="e">
        <f>SUMIF(#REF!,$A11,#REF!)</f>
        <v>#REF!</v>
      </c>
      <c r="M11" s="89"/>
      <c r="N11" s="89"/>
      <c r="O11" s="89"/>
      <c r="P11" s="89"/>
      <c r="Q11" s="90"/>
      <c r="R11" s="11" t="e">
        <f t="shared" si="0"/>
        <v>#REF!</v>
      </c>
    </row>
    <row r="12" spans="1:18">
      <c r="A12" s="40" t="str">
        <f>+Матер!A10</f>
        <v>Зажим временного заземления ZVZ-481</v>
      </c>
      <c r="B12" s="85" t="str">
        <f>+Матер!B10</f>
        <v>шт</v>
      </c>
      <c r="C12" s="86" t="e">
        <f>+Матер!#REF!</f>
        <v>#REF!</v>
      </c>
      <c r="D12" s="86"/>
      <c r="E12" s="89" t="e">
        <f>SUMIF(#REF!,$A12,#REF!)</f>
        <v>#REF!</v>
      </c>
      <c r="F12" s="89"/>
      <c r="G12" s="89" t="e">
        <f>SUMIF(#REF!,$A12,#REF!)</f>
        <v>#REF!</v>
      </c>
      <c r="H12" s="89">
        <f>SUMIF('Ф-2 596'!$I:$I,$A12,'Ф-2 596'!$K:$K)</f>
        <v>16</v>
      </c>
      <c r="I12" s="89" t="e">
        <f>SUMIF(#REF!,$A12,#REF!)</f>
        <v>#REF!</v>
      </c>
      <c r="J12" s="89" t="e">
        <f>SUMIF(#REF!,$A12,#REF!)</f>
        <v>#REF!</v>
      </c>
      <c r="K12" s="89">
        <f>SUMIF('Ф-1 583 '!$I:$I,$A12,'Ф-1 583 '!$K:$K)</f>
        <v>20</v>
      </c>
      <c r="L12" s="89" t="e">
        <f>SUMIF(#REF!,$A12,#REF!)</f>
        <v>#REF!</v>
      </c>
      <c r="M12" s="89"/>
      <c r="N12" s="89" t="e">
        <f>+E12+H12+J12</f>
        <v>#REF!</v>
      </c>
      <c r="O12" s="89"/>
      <c r="P12" s="89"/>
      <c r="Q12" s="90"/>
      <c r="R12" s="11" t="e">
        <f t="shared" si="0"/>
        <v>#REF!</v>
      </c>
    </row>
    <row r="13" spans="1:18" hidden="1">
      <c r="A13" s="40" t="str">
        <f>+Матер!A11</f>
        <v>Зажим натяжной болтовой НБ-2-6 А</v>
      </c>
      <c r="B13" s="85" t="str">
        <f>+Матер!B11</f>
        <v>шт</v>
      </c>
      <c r="C13" s="86" t="e">
        <f>+Матер!#REF!</f>
        <v>#REF!</v>
      </c>
      <c r="D13" s="86"/>
      <c r="E13" s="89" t="e">
        <f>SUMIF(#REF!,$A13,#REF!)</f>
        <v>#REF!</v>
      </c>
      <c r="F13" s="89"/>
      <c r="G13" s="89" t="e">
        <f>SUMIF(#REF!,$A13,#REF!)</f>
        <v>#REF!</v>
      </c>
      <c r="H13" s="89">
        <f>SUMIF('Ф-2 596'!$I:$I,$A13,'Ф-2 596'!$K:$K)</f>
        <v>0</v>
      </c>
      <c r="I13" s="89" t="e">
        <f>SUMIF(#REF!,$A13,#REF!)</f>
        <v>#REF!</v>
      </c>
      <c r="J13" s="89" t="e">
        <f>SUMIF(#REF!,$A13,#REF!)</f>
        <v>#REF!</v>
      </c>
      <c r="K13" s="89">
        <f>SUMIF('Ф-1 583 '!$I:$I,$A13,'Ф-1 583 '!$K:$K)</f>
        <v>0</v>
      </c>
      <c r="L13" s="89" t="e">
        <f>SUMIF(#REF!,$A13,#REF!)</f>
        <v>#REF!</v>
      </c>
      <c r="M13" s="89"/>
      <c r="N13" s="89"/>
      <c r="O13" s="89"/>
      <c r="P13" s="89"/>
      <c r="Q13" s="90"/>
      <c r="R13" s="11" t="e">
        <f t="shared" si="0"/>
        <v>#REF!</v>
      </c>
    </row>
    <row r="14" spans="1:18" hidden="1">
      <c r="A14" s="40" t="str">
        <f>+Матер!A12</f>
        <v>Зажим плашечный ПА-2-2 (трехболт.)</v>
      </c>
      <c r="B14" s="85" t="str">
        <f>+Матер!B12</f>
        <v>шт</v>
      </c>
      <c r="C14" s="86" t="e">
        <f>+Матер!#REF!</f>
        <v>#REF!</v>
      </c>
      <c r="D14" s="86"/>
      <c r="E14" s="89" t="e">
        <f>SUMIF(#REF!,$A14,#REF!)</f>
        <v>#REF!</v>
      </c>
      <c r="F14" s="89"/>
      <c r="G14" s="89" t="e">
        <f>SUMIF(#REF!,$A14,#REF!)</f>
        <v>#REF!</v>
      </c>
      <c r="H14" s="89">
        <f>SUMIF('Ф-2 596'!$I:$I,$A14,'Ф-2 596'!$K:$K)</f>
        <v>0</v>
      </c>
      <c r="I14" s="89" t="e">
        <f>SUMIF(#REF!,$A14,#REF!)</f>
        <v>#REF!</v>
      </c>
      <c r="J14" s="89" t="e">
        <f>SUMIF(#REF!,$A14,#REF!)</f>
        <v>#REF!</v>
      </c>
      <c r="K14" s="89">
        <f>SUMIF('Ф-1 583 '!$I:$I,$A14,'Ф-1 583 '!$K:$K)</f>
        <v>0</v>
      </c>
      <c r="L14" s="89" t="e">
        <f>SUMIF(#REF!,$A14,#REF!)</f>
        <v>#REF!</v>
      </c>
      <c r="M14" s="89"/>
      <c r="N14" s="89"/>
      <c r="O14" s="89"/>
      <c r="P14" s="89"/>
      <c r="Q14" s="90"/>
      <c r="R14" s="11" t="e">
        <f t="shared" si="0"/>
        <v>#REF!</v>
      </c>
    </row>
    <row r="15" spans="1:18" ht="25.5" hidden="1">
      <c r="A15" s="40" t="str">
        <f>+Матер!A13</f>
        <v>Зажим поддерживающий PS 2000 (Поддерживающий зажим PS 1500)</v>
      </c>
      <c r="B15" s="85" t="str">
        <f>+Матер!B13</f>
        <v>шт</v>
      </c>
      <c r="C15" s="86">
        <f>+Матер!C5</f>
        <v>0</v>
      </c>
      <c r="D15" s="86"/>
      <c r="E15" s="89" t="e">
        <f>SUMIF(#REF!,$A15,#REF!)</f>
        <v>#REF!</v>
      </c>
      <c r="F15" s="89"/>
      <c r="G15" s="89" t="e">
        <f>SUMIF(#REF!,$A15,#REF!)</f>
        <v>#REF!</v>
      </c>
      <c r="H15" s="89">
        <f>SUMIF('Ф-2 596'!$I:$I,$A15,'Ф-2 596'!$K:$K)</f>
        <v>0</v>
      </c>
      <c r="I15" s="89" t="e">
        <f>SUMIF(#REF!,$A15,#REF!)</f>
        <v>#REF!</v>
      </c>
      <c r="J15" s="89" t="e">
        <f>SUMIF(#REF!,$A15,#REF!)</f>
        <v>#REF!</v>
      </c>
      <c r="K15" s="89">
        <f>SUMIF('Ф-1 583 '!$I:$I,$A15,'Ф-1 583 '!$K:$K)</f>
        <v>0</v>
      </c>
      <c r="L15" s="89" t="e">
        <f>SUMIF(#REF!,$A15,#REF!)</f>
        <v>#REF!</v>
      </c>
      <c r="M15" s="89"/>
      <c r="N15" s="89"/>
      <c r="O15" s="89"/>
      <c r="P15" s="89"/>
      <c r="Q15" s="90"/>
      <c r="R15" s="94" t="e">
        <f t="shared" si="0"/>
        <v>#REF!</v>
      </c>
    </row>
    <row r="16" spans="1:18">
      <c r="A16" s="40" t="str">
        <f>+Матер!A14</f>
        <v>Зажим прокалывающий ОР-6</v>
      </c>
      <c r="B16" s="85" t="str">
        <f>+Матер!B14</f>
        <v>шт</v>
      </c>
      <c r="C16" s="86">
        <f>+Матер!C6</f>
        <v>284.64</v>
      </c>
      <c r="D16" s="86"/>
      <c r="E16" s="89" t="e">
        <f>SUMIF(#REF!,$A16,#REF!)</f>
        <v>#REF!</v>
      </c>
      <c r="F16" s="89"/>
      <c r="G16" s="89" t="e">
        <f>SUMIF(#REF!,$A16,#REF!)</f>
        <v>#REF!</v>
      </c>
      <c r="H16" s="89">
        <f>SUMIF('Ф-2 596'!$I:$I,$A16,'Ф-2 596'!$K:$K)</f>
        <v>0</v>
      </c>
      <c r="I16" s="89" t="e">
        <f>SUMIF(#REF!,$A16,#REF!)</f>
        <v>#REF!</v>
      </c>
      <c r="J16" s="89" t="e">
        <f>SUMIF(#REF!,$A16,#REF!)</f>
        <v>#REF!</v>
      </c>
      <c r="K16" s="89">
        <f>SUMIF('Ф-1 583 '!$I:$I,$A16,'Ф-1 583 '!$K:$K)</f>
        <v>0</v>
      </c>
      <c r="L16" s="89" t="e">
        <f>SUMIF(#REF!,$A16,#REF!)</f>
        <v>#REF!</v>
      </c>
      <c r="M16" s="89"/>
      <c r="N16" s="89" t="e">
        <f>+E16+H16+J16</f>
        <v>#REF!</v>
      </c>
      <c r="O16" s="89"/>
      <c r="P16" s="89"/>
      <c r="Q16" s="90"/>
      <c r="R16" s="23" t="e">
        <f t="shared" si="0"/>
        <v>#REF!</v>
      </c>
    </row>
    <row r="17" spans="1:18">
      <c r="A17" s="40" t="str">
        <f>+Матер!A15</f>
        <v>Зажим прокалывающий ОР-645</v>
      </c>
      <c r="B17" s="85" t="str">
        <f>+Матер!B15</f>
        <v>шт</v>
      </c>
      <c r="C17" s="86">
        <f>+Матер!C7</f>
        <v>163.67000000000002</v>
      </c>
      <c r="D17" s="86"/>
      <c r="E17" s="89" t="e">
        <f>SUMIF(#REF!,$A17,#REF!)</f>
        <v>#REF!</v>
      </c>
      <c r="F17" s="89"/>
      <c r="G17" s="89" t="e">
        <f>SUMIF(#REF!,$A17,#REF!)</f>
        <v>#REF!</v>
      </c>
      <c r="H17" s="89">
        <f>SUMIF('Ф-2 596'!$I:$I,$A17,'Ф-2 596'!$K:$K)</f>
        <v>138</v>
      </c>
      <c r="I17" s="89" t="e">
        <f>SUMIF(#REF!,$A17,#REF!)</f>
        <v>#REF!</v>
      </c>
      <c r="J17" s="89" t="e">
        <f>SUMIF(#REF!,$A17,#REF!)</f>
        <v>#REF!</v>
      </c>
      <c r="K17" s="89">
        <f>SUMIF('Ф-1 583 '!$I:$I,$A17,'Ф-1 583 '!$K:$K)</f>
        <v>86</v>
      </c>
      <c r="L17" s="89" t="e">
        <f>SUMIF(#REF!,$A17,#REF!)</f>
        <v>#REF!</v>
      </c>
      <c r="M17" s="89"/>
      <c r="N17" s="89" t="e">
        <f>+E17+H17+J17</f>
        <v>#REF!</v>
      </c>
      <c r="O17" s="89"/>
      <c r="P17" s="89"/>
      <c r="Q17" s="90"/>
      <c r="R17" s="23" t="e">
        <f t="shared" si="0"/>
        <v>#REF!</v>
      </c>
    </row>
    <row r="18" spans="1:18">
      <c r="A18" s="40" t="str">
        <f>+Матер!A16</f>
        <v>Зажим прокалывающий ОР-72</v>
      </c>
      <c r="B18" s="85" t="str">
        <f>+Матер!B16</f>
        <v>шт</v>
      </c>
      <c r="C18" s="86">
        <f>+Матер!C8</f>
        <v>169.36</v>
      </c>
      <c r="D18" s="86"/>
      <c r="E18" s="89" t="e">
        <f>SUMIF(#REF!,$A18,#REF!)</f>
        <v>#REF!</v>
      </c>
      <c r="F18" s="89"/>
      <c r="G18" s="89" t="e">
        <f>SUMIF(#REF!,$A18,#REF!)</f>
        <v>#REF!</v>
      </c>
      <c r="H18" s="89">
        <f>SUMIF('Ф-2 596'!$I:$I,$A18,'Ф-2 596'!$K:$K)</f>
        <v>21</v>
      </c>
      <c r="I18" s="89" t="e">
        <f>SUMIF(#REF!,$A18,#REF!)</f>
        <v>#REF!</v>
      </c>
      <c r="J18" s="89" t="e">
        <f>SUMIF(#REF!,$A18,#REF!)</f>
        <v>#REF!</v>
      </c>
      <c r="K18" s="89">
        <f>SUMIF('Ф-1 583 '!$I:$I,$A18,'Ф-1 583 '!$K:$K)</f>
        <v>31</v>
      </c>
      <c r="L18" s="89" t="e">
        <f>SUMIF(#REF!,$A18,#REF!)</f>
        <v>#REF!</v>
      </c>
      <c r="M18" s="89"/>
      <c r="N18" s="89" t="e">
        <f>+E18+H18+J18</f>
        <v>#REF!</v>
      </c>
      <c r="O18" s="89"/>
      <c r="P18" s="89"/>
      <c r="Q18" s="90"/>
      <c r="R18" s="11" t="e">
        <f t="shared" si="0"/>
        <v>#REF!</v>
      </c>
    </row>
    <row r="19" spans="1:18" hidden="1">
      <c r="A19" s="40" t="str">
        <f>+Матер!A17</f>
        <v>Зажим прокалывающий ОР-95</v>
      </c>
      <c r="B19" s="85" t="str">
        <f>+Матер!B17</f>
        <v>шт</v>
      </c>
      <c r="C19" s="86">
        <f>+Матер!C9</f>
        <v>136.09</v>
      </c>
      <c r="D19" s="86"/>
      <c r="E19" s="89" t="e">
        <f>SUMIF(#REF!,$A19,#REF!)</f>
        <v>#REF!</v>
      </c>
      <c r="F19" s="89"/>
      <c r="G19" s="89" t="e">
        <f>SUMIF(#REF!,$A19,#REF!)</f>
        <v>#REF!</v>
      </c>
      <c r="H19" s="89">
        <f>SUMIF('Ф-2 596'!$I:$I,$A19,'Ф-2 596'!$K:$K)</f>
        <v>0</v>
      </c>
      <c r="I19" s="89" t="e">
        <f>SUMIF(#REF!,$A19,#REF!)</f>
        <v>#REF!</v>
      </c>
      <c r="J19" s="89" t="e">
        <f>SUMIF(#REF!,$A19,#REF!)</f>
        <v>#REF!</v>
      </c>
      <c r="K19" s="89">
        <f>SUMIF('Ф-1 583 '!$I:$I,$A19,'Ф-1 583 '!$K:$K)</f>
        <v>0</v>
      </c>
      <c r="L19" s="89" t="e">
        <f>SUMIF(#REF!,$A19,#REF!)</f>
        <v>#REF!</v>
      </c>
      <c r="M19" s="89"/>
      <c r="N19" s="89"/>
      <c r="O19" s="89"/>
      <c r="P19" s="89"/>
      <c r="Q19" s="90"/>
      <c r="R19" s="11" t="e">
        <f t="shared" si="0"/>
        <v>#REF!</v>
      </c>
    </row>
    <row r="20" spans="1:18" hidden="1">
      <c r="A20" s="40" t="str">
        <f>+Матер!A18</f>
        <v>Зажим соединительный (плашечный) ПС-2-1А</v>
      </c>
      <c r="B20" s="85" t="str">
        <f>+Матер!B18</f>
        <v>шт</v>
      </c>
      <c r="C20" s="86">
        <f>+Матер!C10</f>
        <v>350</v>
      </c>
      <c r="D20" s="86"/>
      <c r="E20" s="89" t="e">
        <f>SUMIF(#REF!,$A20,#REF!)</f>
        <v>#REF!</v>
      </c>
      <c r="F20" s="89"/>
      <c r="G20" s="89" t="e">
        <f>SUMIF(#REF!,$A20,#REF!)</f>
        <v>#REF!</v>
      </c>
      <c r="H20" s="89">
        <f>SUMIF('Ф-2 596'!$I:$I,$A20,'Ф-2 596'!$K:$K)</f>
        <v>0</v>
      </c>
      <c r="I20" s="89" t="e">
        <f>SUMIF(#REF!,$A20,#REF!)</f>
        <v>#REF!</v>
      </c>
      <c r="J20" s="89" t="e">
        <f>SUMIF(#REF!,$A20,#REF!)</f>
        <v>#REF!</v>
      </c>
      <c r="K20" s="89">
        <f>SUMIF('Ф-1 583 '!$I:$I,$A20,'Ф-1 583 '!$K:$K)</f>
        <v>0</v>
      </c>
      <c r="L20" s="89" t="e">
        <f>SUMIF(#REF!,$A20,#REF!)</f>
        <v>#REF!</v>
      </c>
      <c r="M20" s="89"/>
      <c r="N20" s="89"/>
      <c r="O20" s="89"/>
      <c r="P20" s="89"/>
      <c r="Q20" s="90"/>
      <c r="R20" s="94" t="e">
        <f t="shared" si="0"/>
        <v>#REF!</v>
      </c>
    </row>
    <row r="21" spans="1:18">
      <c r="A21" s="40" t="str">
        <f>+Матер!A19</f>
        <v>Зажим соединительный ПС-2-1</v>
      </c>
      <c r="B21" s="85" t="str">
        <f>+Матер!B19</f>
        <v>шт</v>
      </c>
      <c r="C21" s="86">
        <f>+Матер!C11</f>
        <v>327.33999999999997</v>
      </c>
      <c r="D21" s="86"/>
      <c r="E21" s="89" t="e">
        <f>SUMIF(#REF!,$A21,#REF!)</f>
        <v>#REF!</v>
      </c>
      <c r="F21" s="89"/>
      <c r="G21" s="89" t="e">
        <f>SUMIF(#REF!,$A21,#REF!)</f>
        <v>#REF!</v>
      </c>
      <c r="H21" s="89">
        <f>SUMIF('Ф-2 596'!$I:$I,$A21,'Ф-2 596'!$K:$K)</f>
        <v>114</v>
      </c>
      <c r="I21" s="89" t="e">
        <f>SUMIF(#REF!,$A21,#REF!)</f>
        <v>#REF!</v>
      </c>
      <c r="J21" s="89" t="e">
        <f>SUMIF(#REF!,$A21,#REF!)</f>
        <v>#REF!</v>
      </c>
      <c r="K21" s="89">
        <f>SUMIF('Ф-1 583 '!$I:$I,$A21,'Ф-1 583 '!$K:$K)</f>
        <v>158</v>
      </c>
      <c r="L21" s="89" t="e">
        <f>SUMIF(#REF!,$A21,#REF!)</f>
        <v>#REF!</v>
      </c>
      <c r="M21" s="89"/>
      <c r="N21" s="89" t="e">
        <f>+E21+H21+J21</f>
        <v>#REF!</v>
      </c>
      <c r="O21" s="89"/>
      <c r="P21" s="89"/>
      <c r="Q21" s="90"/>
      <c r="R21" s="23" t="e">
        <f t="shared" si="0"/>
        <v>#REF!</v>
      </c>
    </row>
    <row r="22" spans="1:18">
      <c r="A22" s="40" t="str">
        <f>+Матер!A20</f>
        <v>Кабельный ремешок Е-1 180 мм</v>
      </c>
      <c r="B22" s="85" t="str">
        <f>+Матер!B20</f>
        <v>шт</v>
      </c>
      <c r="C22" s="86">
        <f>+Матер!C12</f>
        <v>63.29</v>
      </c>
      <c r="D22" s="86"/>
      <c r="E22" s="89" t="e">
        <f>SUMIF(#REF!,$A22,#REF!)</f>
        <v>#REF!</v>
      </c>
      <c r="F22" s="89"/>
      <c r="G22" s="89" t="e">
        <f>SUMIF(#REF!,$A22,#REF!)</f>
        <v>#REF!</v>
      </c>
      <c r="H22" s="89">
        <f>SUMIF('Ф-2 596'!$I:$I,$A22,'Ф-2 596'!$K:$K)</f>
        <v>284</v>
      </c>
      <c r="I22" s="89" t="e">
        <f>SUMIF(#REF!,$A22,#REF!)</f>
        <v>#REF!</v>
      </c>
      <c r="J22" s="89" t="e">
        <f>SUMIF(#REF!,$A22,#REF!)</f>
        <v>#REF!</v>
      </c>
      <c r="K22" s="89">
        <f>SUMIF('Ф-1 583 '!$I:$I,$A22,'Ф-1 583 '!$K:$K)</f>
        <v>244</v>
      </c>
      <c r="L22" s="89" t="e">
        <f>SUMIF(#REF!,$A22,#REF!)</f>
        <v>#REF!</v>
      </c>
      <c r="M22" s="89"/>
      <c r="N22" s="89" t="e">
        <f>+E22+H22+J22</f>
        <v>#REF!</v>
      </c>
      <c r="O22" s="89"/>
      <c r="P22" s="89"/>
      <c r="Q22" s="90"/>
      <c r="R22" s="11" t="e">
        <f t="shared" si="0"/>
        <v>#REF!</v>
      </c>
    </row>
    <row r="23" spans="1:18">
      <c r="A23" s="40" t="str">
        <f>+Матер!A21</f>
        <v>Краска-спрей черная 0,52 мл</v>
      </c>
      <c r="B23" s="85" t="str">
        <f>+Матер!B21</f>
        <v>л</v>
      </c>
      <c r="C23" s="86">
        <f>+Матер!C13</f>
        <v>115.25</v>
      </c>
      <c r="D23" s="86"/>
      <c r="E23" s="89" t="e">
        <f>SUMIF(#REF!,$A23,#REF!)</f>
        <v>#REF!</v>
      </c>
      <c r="F23" s="89"/>
      <c r="G23" s="89" t="e">
        <f>SUMIF(#REF!,$A23,#REF!)</f>
        <v>#REF!</v>
      </c>
      <c r="H23" s="89">
        <f>SUMIF('Ф-2 596'!$I:$I,$A23,'Ф-2 596'!$K:$K)</f>
        <v>0</v>
      </c>
      <c r="I23" s="89" t="e">
        <f>SUMIF(#REF!,$A23,#REF!)</f>
        <v>#REF!</v>
      </c>
      <c r="J23" s="89" t="e">
        <f>SUMIF(#REF!,$A23,#REF!)</f>
        <v>#REF!</v>
      </c>
      <c r="K23" s="89">
        <f>SUMIF('Ф-1 583 '!$I:$I,$A23,'Ф-1 583 '!$K:$K)</f>
        <v>0</v>
      </c>
      <c r="L23" s="89" t="e">
        <f>SUMIF(#REF!,$A23,#REF!)</f>
        <v>#REF!</v>
      </c>
      <c r="M23" s="89"/>
      <c r="N23" s="89" t="e">
        <f>+E23+H23+J23</f>
        <v>#REF!</v>
      </c>
      <c r="O23" s="89"/>
      <c r="P23" s="89"/>
      <c r="Q23" s="90"/>
      <c r="R23" s="11" t="e">
        <f t="shared" si="0"/>
        <v>#REF!</v>
      </c>
    </row>
    <row r="24" spans="1:18" hidden="1">
      <c r="A24" s="40" t="str">
        <f>+Матер!A22</f>
        <v>Краска-спрей зеленая 0,52 мл</v>
      </c>
      <c r="B24" s="85" t="str">
        <f>+Матер!B22</f>
        <v>л</v>
      </c>
      <c r="C24" s="86">
        <f>+Матер!C14</f>
        <v>45.944000000000003</v>
      </c>
      <c r="D24" s="86"/>
      <c r="E24" s="89" t="e">
        <f>SUMIF(#REF!,$A24,#REF!)</f>
        <v>#REF!</v>
      </c>
      <c r="F24" s="89"/>
      <c r="G24" s="89" t="e">
        <f>SUMIF(#REF!,$A24,#REF!)</f>
        <v>#REF!</v>
      </c>
      <c r="H24" s="89">
        <f>SUMIF('Ф-2 596'!$I:$I,$A24,'Ф-2 596'!$K:$K)</f>
        <v>0</v>
      </c>
      <c r="I24" s="89" t="e">
        <f>SUMIF(#REF!,$A24,#REF!)</f>
        <v>#REF!</v>
      </c>
      <c r="J24" s="89" t="e">
        <f>SUMIF(#REF!,$A24,#REF!)</f>
        <v>#REF!</v>
      </c>
      <c r="K24" s="89">
        <f>SUMIF('Ф-1 583 '!$I:$I,$A24,'Ф-1 583 '!$K:$K)</f>
        <v>0</v>
      </c>
      <c r="L24" s="89" t="e">
        <f>SUMIF(#REF!,$A24,#REF!)</f>
        <v>#REF!</v>
      </c>
      <c r="M24" s="89"/>
      <c r="N24" s="89"/>
      <c r="O24" s="89"/>
      <c r="P24" s="89"/>
      <c r="Q24" s="90"/>
      <c r="R24" s="94" t="e">
        <f t="shared" si="0"/>
        <v>#REF!</v>
      </c>
    </row>
    <row r="25" spans="1:18" hidden="1">
      <c r="A25" s="40" t="str">
        <f>+Матер!A23</f>
        <v>Краска-спрей красная 0,52 мл</v>
      </c>
      <c r="B25" s="85" t="str">
        <f>+Матер!B23</f>
        <v>л</v>
      </c>
      <c r="C25" s="86">
        <f>+Матер!C15</f>
        <v>98</v>
      </c>
      <c r="D25" s="86"/>
      <c r="E25" s="89" t="e">
        <f>SUMIF(#REF!,$A25,#REF!)</f>
        <v>#REF!</v>
      </c>
      <c r="F25" s="89"/>
      <c r="G25" s="89" t="e">
        <f>SUMIF(#REF!,$A25,#REF!)</f>
        <v>#REF!</v>
      </c>
      <c r="H25" s="89">
        <f>SUMIF('Ф-2 596'!$I:$I,$A25,'Ф-2 596'!$K:$K)</f>
        <v>0</v>
      </c>
      <c r="I25" s="89" t="e">
        <f>SUMIF(#REF!,$A25,#REF!)</f>
        <v>#REF!</v>
      </c>
      <c r="J25" s="89" t="e">
        <f>SUMIF(#REF!,$A25,#REF!)</f>
        <v>#REF!</v>
      </c>
      <c r="K25" s="89">
        <f>SUMIF('Ф-1 583 '!$I:$I,$A25,'Ф-1 583 '!$K:$K)</f>
        <v>0</v>
      </c>
      <c r="L25" s="89" t="e">
        <f>SUMIF(#REF!,$A25,#REF!)</f>
        <v>#REF!</v>
      </c>
      <c r="M25" s="89"/>
      <c r="N25" s="89"/>
      <c r="O25" s="89"/>
      <c r="P25" s="89"/>
      <c r="Q25" s="90"/>
      <c r="R25" s="23" t="e">
        <f t="shared" si="0"/>
        <v>#REF!</v>
      </c>
    </row>
    <row r="26" spans="1:18" hidden="1">
      <c r="A26" s="40" t="str">
        <f>+Матер!A24</f>
        <v>Краска-спрей желтая 0,52 мл</v>
      </c>
      <c r="B26" s="85" t="str">
        <f>+Матер!B24</f>
        <v>л</v>
      </c>
      <c r="C26" s="86">
        <f>+Матер!C16</f>
        <v>140</v>
      </c>
      <c r="D26" s="86"/>
      <c r="E26" s="89" t="e">
        <f>SUMIF(#REF!,$A26,#REF!)</f>
        <v>#REF!</v>
      </c>
      <c r="F26" s="89"/>
      <c r="G26" s="89" t="e">
        <f>SUMIF(#REF!,$A26,#REF!)</f>
        <v>#REF!</v>
      </c>
      <c r="H26" s="89">
        <f>SUMIF('Ф-2 596'!$I:$I,$A26,'Ф-2 596'!$K:$K)</f>
        <v>0</v>
      </c>
      <c r="I26" s="89" t="e">
        <f>SUMIF(#REF!,$A26,#REF!)</f>
        <v>#REF!</v>
      </c>
      <c r="J26" s="89" t="e">
        <f>SUMIF(#REF!,$A26,#REF!)</f>
        <v>#REF!</v>
      </c>
      <c r="K26" s="89">
        <f>SUMIF('Ф-1 583 '!$I:$I,$A26,'Ф-1 583 '!$K:$K)</f>
        <v>0</v>
      </c>
      <c r="L26" s="89" t="e">
        <f>SUMIF(#REF!,$A26,#REF!)</f>
        <v>#REF!</v>
      </c>
      <c r="M26" s="89"/>
      <c r="N26" s="89"/>
      <c r="O26" s="89"/>
      <c r="P26" s="89"/>
      <c r="Q26" s="90"/>
      <c r="R26" s="23" t="e">
        <f t="shared" si="0"/>
        <v>#REF!</v>
      </c>
    </row>
    <row r="27" spans="1:18">
      <c r="A27" s="108" t="str">
        <f>+Матер!A25</f>
        <v>КАТАНКА 6,5</v>
      </c>
      <c r="B27" s="109" t="str">
        <f>+Матер!B25</f>
        <v>т</v>
      </c>
      <c r="C27" s="86">
        <f>+Матер!C17</f>
        <v>176.48</v>
      </c>
      <c r="D27" s="86"/>
      <c r="E27" s="110" t="e">
        <f>SUMIF(#REF!,$A27,#REF!)</f>
        <v>#REF!</v>
      </c>
      <c r="F27" s="110"/>
      <c r="G27" s="110" t="e">
        <f>SUMIF(#REF!,$A27,#REF!)</f>
        <v>#REF!</v>
      </c>
      <c r="H27" s="110">
        <f>SUMIF('Ф-2 596'!$I:$I,$A27,'Ф-2 596'!$K:$K)</f>
        <v>58.596000000000004</v>
      </c>
      <c r="I27" s="110" t="e">
        <f>SUMIF(#REF!,$A27,#REF!)</f>
        <v>#REF!</v>
      </c>
      <c r="J27" s="110" t="e">
        <f>SUMIF(#REF!,$A27,#REF!)</f>
        <v>#REF!</v>
      </c>
      <c r="K27" s="110">
        <f>SUMIF('Ф-1 583 '!$I:$I,$A27,'Ф-1 583 '!$K:$K)</f>
        <v>78.128</v>
      </c>
      <c r="L27" s="110" t="e">
        <f>SUMIF(#REF!,$A27,#REF!)</f>
        <v>#REF!</v>
      </c>
      <c r="M27" s="110"/>
      <c r="N27" s="89" t="e">
        <f>+E27+H27+J27</f>
        <v>#REF!</v>
      </c>
      <c r="O27" s="110"/>
      <c r="P27" s="110"/>
      <c r="Q27" s="111"/>
      <c r="R27" s="112" t="e">
        <f t="shared" si="0"/>
        <v>#REF!</v>
      </c>
    </row>
    <row r="28" spans="1:18">
      <c r="A28" s="40" t="str">
        <f>+Матер!A26</f>
        <v>Комплект промежуточной подвески ES 1500</v>
      </c>
      <c r="B28" s="85" t="str">
        <f>+Матер!B26</f>
        <v>шт</v>
      </c>
      <c r="C28" s="86">
        <f>+Матер!C19</f>
        <v>74.13</v>
      </c>
      <c r="D28" s="86"/>
      <c r="E28" s="89" t="e">
        <f>SUMIF(#REF!,$A28,#REF!)</f>
        <v>#REF!</v>
      </c>
      <c r="F28" s="89"/>
      <c r="G28" s="89" t="e">
        <f>SUMIF(#REF!,$A28,#REF!)</f>
        <v>#REF!</v>
      </c>
      <c r="H28" s="89">
        <f>SUMIF('Ф-2 596'!$I:$I,$A28,'Ф-2 596'!$K:$K)</f>
        <v>16</v>
      </c>
      <c r="I28" s="89" t="e">
        <f>SUMIF(#REF!,$A28,#REF!)</f>
        <v>#REF!</v>
      </c>
      <c r="J28" s="89" t="e">
        <f>SUMIF(#REF!,$A28,#REF!)</f>
        <v>#REF!</v>
      </c>
      <c r="K28" s="89">
        <f>SUMIF('Ф-1 583 '!$I:$I,$A28,'Ф-1 583 '!$K:$K)</f>
        <v>20</v>
      </c>
      <c r="L28" s="89" t="e">
        <f>SUMIF(#REF!,$A28,#REF!)</f>
        <v>#REF!</v>
      </c>
      <c r="M28" s="89"/>
      <c r="N28" s="89" t="e">
        <f>+E28+H28+J28</f>
        <v>#REF!</v>
      </c>
      <c r="O28" s="89"/>
      <c r="P28" s="89"/>
      <c r="Q28" s="90"/>
      <c r="R28" s="23" t="e">
        <f t="shared" si="0"/>
        <v>#REF!</v>
      </c>
    </row>
    <row r="29" spans="1:18">
      <c r="A29" s="40" t="str">
        <f>+Матер!A27</f>
        <v>Кронштейн анкерный  CS 10.3</v>
      </c>
      <c r="B29" s="85" t="str">
        <f>+Матер!B27</f>
        <v>шт</v>
      </c>
      <c r="C29" s="86" t="e">
        <f>+Матер!#REF!</f>
        <v>#REF!</v>
      </c>
      <c r="D29" s="86"/>
      <c r="E29" s="89" t="e">
        <f>SUMIF(#REF!,$A29,#REF!)</f>
        <v>#REF!</v>
      </c>
      <c r="F29" s="89"/>
      <c r="G29" s="89" t="e">
        <f>SUMIF(#REF!,$A29,#REF!)</f>
        <v>#REF!</v>
      </c>
      <c r="H29" s="89">
        <f>SUMIF('Ф-2 596'!$I:$I,$A29,'Ф-2 596'!$K:$K)</f>
        <v>10</v>
      </c>
      <c r="I29" s="89" t="e">
        <f>SUMIF(#REF!,$A29,#REF!)</f>
        <v>#REF!</v>
      </c>
      <c r="J29" s="89" t="e">
        <f>SUMIF(#REF!,$A29,#REF!)</f>
        <v>#REF!</v>
      </c>
      <c r="K29" s="89">
        <f>SUMIF('Ф-1 583 '!$I:$I,$A29,'Ф-1 583 '!$K:$K)</f>
        <v>22</v>
      </c>
      <c r="L29" s="89" t="e">
        <f>SUMIF(#REF!,$A29,#REF!)</f>
        <v>#REF!</v>
      </c>
      <c r="M29" s="89"/>
      <c r="N29" s="89" t="e">
        <f>+E29+H29+J29</f>
        <v>#REF!</v>
      </c>
      <c r="O29" s="89"/>
      <c r="P29" s="89"/>
      <c r="Q29" s="90"/>
      <c r="R29" s="11" t="e">
        <f t="shared" si="0"/>
        <v>#REF!</v>
      </c>
    </row>
    <row r="30" spans="1:18">
      <c r="A30" s="40" t="str">
        <f>+Матер!A28</f>
        <v>Кронштейн анкерный СА25</v>
      </c>
      <c r="B30" s="85" t="str">
        <f>+Матер!B28</f>
        <v>шт</v>
      </c>
      <c r="C30" s="86" t="e">
        <f>+Матер!#REF!</f>
        <v>#REF!</v>
      </c>
      <c r="D30" s="86"/>
      <c r="E30" s="89" t="e">
        <f>SUMIF(#REF!,$A30,#REF!)</f>
        <v>#REF!</v>
      </c>
      <c r="F30" s="89"/>
      <c r="G30" s="89" t="e">
        <f>SUMIF(#REF!,$A30,#REF!)</f>
        <v>#REF!</v>
      </c>
      <c r="H30" s="89">
        <f>SUMIF('Ф-2 596'!$I:$I,$A30,'Ф-2 596'!$K:$K)</f>
        <v>19</v>
      </c>
      <c r="I30" s="89" t="e">
        <f>SUMIF(#REF!,$A30,#REF!)</f>
        <v>#REF!</v>
      </c>
      <c r="J30" s="89" t="e">
        <f>SUMIF(#REF!,$A30,#REF!)</f>
        <v>#REF!</v>
      </c>
      <c r="K30" s="89">
        <f>SUMIF('Ф-1 583 '!$I:$I,$A30,'Ф-1 583 '!$K:$K)</f>
        <v>13</v>
      </c>
      <c r="L30" s="89" t="e">
        <f>SUMIF(#REF!,$A30,#REF!)</f>
        <v>#REF!</v>
      </c>
      <c r="M30" s="89"/>
      <c r="N30" s="89" t="e">
        <f>+E30+H30+J30</f>
        <v>#REF!</v>
      </c>
      <c r="O30" s="89"/>
      <c r="P30" s="89"/>
      <c r="Q30" s="90"/>
      <c r="R30" s="23" t="e">
        <f t="shared" si="0"/>
        <v>#REF!</v>
      </c>
    </row>
    <row r="31" spans="1:18" s="74" customFormat="1">
      <c r="A31" s="91" t="str">
        <f>+Матер!A29</f>
        <v>КРОНШТЕЙН М-10</v>
      </c>
      <c r="B31" s="79" t="str">
        <f>+Матер!B29</f>
        <v>шт</v>
      </c>
      <c r="C31" s="80" t="e">
        <f>+Матер!#REF!</f>
        <v>#REF!</v>
      </c>
      <c r="D31" s="80"/>
      <c r="E31" s="92" t="e">
        <f>SUMIF(#REF!,$A31,#REF!)</f>
        <v>#REF!</v>
      </c>
      <c r="F31" s="92"/>
      <c r="G31" s="92" t="e">
        <f>SUMIF(#REF!,$A31,#REF!)</f>
        <v>#REF!</v>
      </c>
      <c r="H31" s="92">
        <f>SUMIF('Ф-2 596'!$I:$I,$A31,'Ф-2 596'!$K:$K)</f>
        <v>0</v>
      </c>
      <c r="I31" s="92" t="e">
        <f>SUMIF(#REF!,$A31,#REF!)</f>
        <v>#REF!</v>
      </c>
      <c r="J31" s="92" t="e">
        <f>SUMIF(#REF!,$A31,#REF!)</f>
        <v>#REF!</v>
      </c>
      <c r="K31" s="92">
        <f>SUMIF('Ф-1 583 '!$I:$I,$A31,'Ф-1 583 '!$K:$K)</f>
        <v>0</v>
      </c>
      <c r="L31" s="92" t="e">
        <f>SUMIF(#REF!,$A31,#REF!)</f>
        <v>#REF!</v>
      </c>
      <c r="M31" s="92"/>
      <c r="N31" s="89" t="e">
        <f>+E31+H31+J31</f>
        <v>#REF!</v>
      </c>
      <c r="O31" s="92"/>
      <c r="P31" s="92"/>
      <c r="Q31" s="93"/>
      <c r="R31" s="74" t="e">
        <f t="shared" si="0"/>
        <v>#REF!</v>
      </c>
    </row>
    <row r="32" spans="1:18" hidden="1">
      <c r="A32" s="40" t="str">
        <f>+Матер!A30</f>
        <v>КРУГ СТ. 3 Ф 12</v>
      </c>
      <c r="B32" s="85" t="str">
        <f>+Матер!B30</f>
        <v>т</v>
      </c>
      <c r="C32" s="86" t="e">
        <f>+Матер!#REF!</f>
        <v>#REF!</v>
      </c>
      <c r="D32" s="86"/>
      <c r="E32" s="89" t="e">
        <f>SUMIF(#REF!,$A32,#REF!)</f>
        <v>#REF!</v>
      </c>
      <c r="F32" s="89"/>
      <c r="G32" s="89" t="e">
        <f>SUMIF(#REF!,$A32,#REF!)</f>
        <v>#REF!</v>
      </c>
      <c r="H32" s="89">
        <f>SUMIF('Ф-2 596'!$I:$I,$A32,'Ф-2 596'!$K:$K)</f>
        <v>0</v>
      </c>
      <c r="I32" s="89" t="e">
        <f>SUMIF(#REF!,$A32,#REF!)</f>
        <v>#REF!</v>
      </c>
      <c r="J32" s="89" t="e">
        <f>SUMIF(#REF!,$A32,#REF!)</f>
        <v>#REF!</v>
      </c>
      <c r="K32" s="89">
        <f>SUMIF('Ф-1 583 '!$I:$I,$A32,'Ф-1 583 '!$K:$K)</f>
        <v>0</v>
      </c>
      <c r="L32" s="89" t="e">
        <f>SUMIF(#REF!,$A32,#REF!)</f>
        <v>#REF!</v>
      </c>
      <c r="M32" s="89"/>
      <c r="N32" s="89"/>
      <c r="O32" s="89"/>
      <c r="P32" s="89"/>
      <c r="Q32" s="90"/>
      <c r="R32" s="11" t="e">
        <f t="shared" si="0"/>
        <v>#REF!</v>
      </c>
    </row>
    <row r="33" spans="1:18">
      <c r="A33" s="108" t="str">
        <f>+Матер!A31</f>
        <v>КРУГ СТ. 3 Ф 14</v>
      </c>
      <c r="B33" s="109" t="str">
        <f>+Матер!B31</f>
        <v>т</v>
      </c>
      <c r="C33" s="86" t="e">
        <f>+Матер!#REF!</f>
        <v>#REF!</v>
      </c>
      <c r="D33" s="86"/>
      <c r="E33" s="110" t="e">
        <f>SUMIF(#REF!,$A33,#REF!)</f>
        <v>#REF!</v>
      </c>
      <c r="F33" s="110"/>
      <c r="G33" s="110" t="e">
        <f>SUMIF(#REF!,$A33,#REF!)</f>
        <v>#REF!</v>
      </c>
      <c r="H33" s="110">
        <f>SUMIF('Ф-2 596'!$I:$I,$A33,'Ф-2 596'!$K:$K)</f>
        <v>75.095999999999989</v>
      </c>
      <c r="I33" s="110" t="e">
        <f>SUMIF(#REF!,$A33,#REF!)</f>
        <v>#REF!</v>
      </c>
      <c r="J33" s="110" t="e">
        <f>SUMIF(#REF!,$A33,#REF!)</f>
        <v>#REF!</v>
      </c>
      <c r="K33" s="110">
        <f>SUMIF('Ф-1 583 '!$I:$I,$A33,'Ф-1 583 '!$K:$K)</f>
        <v>110.85599999999999</v>
      </c>
      <c r="L33" s="110" t="e">
        <f>SUMIF(#REF!,$A33,#REF!)</f>
        <v>#REF!</v>
      </c>
      <c r="M33" s="110"/>
      <c r="N33" s="89" t="e">
        <f>+E33+H33+J33</f>
        <v>#REF!</v>
      </c>
      <c r="O33" s="110"/>
      <c r="P33" s="110"/>
      <c r="Q33" s="111"/>
      <c r="R33" s="113" t="e">
        <f t="shared" si="0"/>
        <v>#REF!</v>
      </c>
    </row>
    <row r="34" spans="1:18" hidden="1">
      <c r="A34" s="40" t="str">
        <f>+Матер!A32</f>
        <v>КРУГ СТ. 3 Ф 16</v>
      </c>
      <c r="B34" s="85" t="str">
        <f>+Матер!B32</f>
        <v>т</v>
      </c>
      <c r="C34" s="86" t="e">
        <f>+Матер!#REF!</f>
        <v>#REF!</v>
      </c>
      <c r="D34" s="86"/>
      <c r="E34" s="89" t="e">
        <f>SUMIF(#REF!,$A34,#REF!)</f>
        <v>#REF!</v>
      </c>
      <c r="F34" s="89"/>
      <c r="G34" s="89" t="e">
        <f>SUMIF(#REF!,$A34,#REF!)</f>
        <v>#REF!</v>
      </c>
      <c r="H34" s="89">
        <f>SUMIF('Ф-2 596'!$I:$I,$A34,'Ф-2 596'!$K:$K)</f>
        <v>0</v>
      </c>
      <c r="I34" s="89" t="e">
        <f>SUMIF(#REF!,$A34,#REF!)</f>
        <v>#REF!</v>
      </c>
      <c r="J34" s="89" t="e">
        <f>SUMIF(#REF!,$A34,#REF!)</f>
        <v>#REF!</v>
      </c>
      <c r="K34" s="89">
        <f>SUMIF('Ф-1 583 '!$I:$I,$A34,'Ф-1 583 '!$K:$K)</f>
        <v>0</v>
      </c>
      <c r="L34" s="89" t="e">
        <f>SUMIF(#REF!,$A34,#REF!)</f>
        <v>#REF!</v>
      </c>
      <c r="M34" s="89"/>
      <c r="N34" s="89"/>
      <c r="O34" s="89"/>
      <c r="P34" s="89"/>
      <c r="Q34" s="90"/>
      <c r="R34" s="11" t="e">
        <f t="shared" si="0"/>
        <v>#REF!</v>
      </c>
    </row>
    <row r="35" spans="1:18" hidden="1">
      <c r="A35" s="40" t="str">
        <f>+Матер!A33</f>
        <v>КРЮК КН-18</v>
      </c>
      <c r="B35" s="85" t="str">
        <f>+Матер!B33</f>
        <v>шт</v>
      </c>
      <c r="C35" s="86" t="e">
        <f>+Матер!#REF!</f>
        <v>#REF!</v>
      </c>
      <c r="D35" s="86"/>
      <c r="E35" s="89" t="e">
        <f>SUMIF(#REF!,$A35,#REF!)</f>
        <v>#REF!</v>
      </c>
      <c r="F35" s="89"/>
      <c r="G35" s="89" t="e">
        <f>SUMIF(#REF!,$A35,#REF!)</f>
        <v>#REF!</v>
      </c>
      <c r="H35" s="89">
        <f>SUMIF('Ф-2 596'!$I:$I,$A35,'Ф-2 596'!$K:$K)</f>
        <v>0</v>
      </c>
      <c r="I35" s="89" t="e">
        <f>SUMIF(#REF!,$A35,#REF!)</f>
        <v>#REF!</v>
      </c>
      <c r="J35" s="89" t="e">
        <f>SUMIF(#REF!,$A35,#REF!)</f>
        <v>#REF!</v>
      </c>
      <c r="K35" s="89">
        <f>SUMIF('Ф-1 583 '!$I:$I,$A35,'Ф-1 583 '!$K:$K)</f>
        <v>0</v>
      </c>
      <c r="L35" s="89" t="e">
        <f>SUMIF(#REF!,$A35,#REF!)</f>
        <v>#REF!</v>
      </c>
      <c r="M35" s="89"/>
      <c r="N35" s="89"/>
      <c r="O35" s="89"/>
      <c r="P35" s="89"/>
      <c r="Q35" s="90"/>
      <c r="R35" s="11" t="e">
        <f t="shared" si="0"/>
        <v>#REF!</v>
      </c>
    </row>
    <row r="36" spans="1:18">
      <c r="A36" s="40" t="str">
        <f>+Матер!A34</f>
        <v>Лента F20.07</v>
      </c>
      <c r="B36" s="85" t="str">
        <f>+Матер!B34</f>
        <v>упак/50м</v>
      </c>
      <c r="C36" s="86">
        <f>+Матер!C20</f>
        <v>3.5169999999999999</v>
      </c>
      <c r="D36" s="86"/>
      <c r="E36" s="89" t="e">
        <f>SUMIF(#REF!,$A36,#REF!)</f>
        <v>#REF!</v>
      </c>
      <c r="F36" s="89"/>
      <c r="G36" s="89" t="e">
        <f>SUMIF(#REF!,$A36,#REF!)</f>
        <v>#REF!</v>
      </c>
      <c r="H36" s="89">
        <f>SUMIF('Ф-2 596'!$I:$I,$A36,'Ф-2 596'!$K:$K)</f>
        <v>2.02</v>
      </c>
      <c r="I36" s="89" t="e">
        <f>SUMIF(#REF!,$A36,#REF!)</f>
        <v>#REF!</v>
      </c>
      <c r="J36" s="89" t="e">
        <f>SUMIF(#REF!,$A36,#REF!)</f>
        <v>#REF!</v>
      </c>
      <c r="K36" s="89">
        <f>SUMIF('Ф-1 583 '!$I:$I,$A36,'Ф-1 583 '!$K:$K)</f>
        <v>2.38</v>
      </c>
      <c r="L36" s="89" t="e">
        <f>SUMIF(#REF!,$A36,#REF!)</f>
        <v>#REF!</v>
      </c>
      <c r="M36" s="89"/>
      <c r="N36" s="89" t="e">
        <f>+E36+H36+J36</f>
        <v>#REF!</v>
      </c>
      <c r="O36" s="89"/>
      <c r="P36" s="89"/>
      <c r="Q36" s="90"/>
      <c r="R36" s="23" t="e">
        <f t="shared" ref="R36:R60" si="1">SUM(E36:Q36)</f>
        <v>#REF!</v>
      </c>
    </row>
    <row r="37" spans="1:18" ht="25.5">
      <c r="A37" s="40" t="str">
        <f>+Матер!A35</f>
        <v>Мастика каучуко-битумная гидроизоляционная ВИТ (ведро 15 кг) ТУ 5775-023-87271621-2011</v>
      </c>
      <c r="B37" s="85" t="str">
        <f>+Матер!B35</f>
        <v>кг</v>
      </c>
      <c r="C37" s="86">
        <f>+Матер!C25</f>
        <v>35580</v>
      </c>
      <c r="D37" s="86"/>
      <c r="E37" s="89" t="e">
        <f>SUMIF(#REF!,$A37,#REF!)</f>
        <v>#REF!</v>
      </c>
      <c r="F37" s="89"/>
      <c r="G37" s="89" t="e">
        <f>SUMIF(#REF!,$A37,#REF!)</f>
        <v>#REF!</v>
      </c>
      <c r="H37" s="89">
        <f>SUMIF('Ф-2 596'!$I:$I,$A37,'Ф-2 596'!$K:$K)</f>
        <v>104</v>
      </c>
      <c r="I37" s="89" t="e">
        <f>SUMIF(#REF!,$A37,#REF!)</f>
        <v>#REF!</v>
      </c>
      <c r="J37" s="89" t="e">
        <f>SUMIF(#REF!,$A37,#REF!)</f>
        <v>#REF!</v>
      </c>
      <c r="K37" s="89">
        <f>SUMIF('Ф-1 583 '!$I:$I,$A37,'Ф-1 583 '!$K:$K)</f>
        <v>168</v>
      </c>
      <c r="L37" s="89" t="e">
        <f>SUMIF(#REF!,$A37,#REF!)</f>
        <v>#REF!</v>
      </c>
      <c r="M37" s="89"/>
      <c r="N37" s="89"/>
      <c r="O37" s="89"/>
      <c r="P37" s="89"/>
      <c r="Q37" s="90"/>
      <c r="R37" s="94" t="e">
        <f>SUM(E37:Q37)</f>
        <v>#REF!</v>
      </c>
    </row>
    <row r="38" spans="1:18" s="74" customFormat="1" ht="51">
      <c r="A38" s="91" t="str">
        <f>+Матер!A36</f>
        <v>ОГРАНИЧИТЕЛЬ ПЕРЕНАПРЯЖЕНИЯ ОПН типа LVA-450  в комлекте с  зажимом OP-645, ПА-1-1 и медным заземляющим проводником сечением 6 мм2  длиной 1000 мм</v>
      </c>
      <c r="B38" s="79" t="str">
        <f>+Матер!B36</f>
        <v>шт</v>
      </c>
      <c r="C38" s="80" t="e">
        <f>+Матер!#REF!</f>
        <v>#REF!</v>
      </c>
      <c r="D38" s="80"/>
      <c r="E38" s="92" t="e">
        <f>SUMIF(#REF!,$A38,#REF!)</f>
        <v>#REF!</v>
      </c>
      <c r="F38" s="92"/>
      <c r="G38" s="92" t="e">
        <f>SUMIF(#REF!,$A38,#REF!)</f>
        <v>#REF!</v>
      </c>
      <c r="H38" s="92">
        <f>SUMIF('Ф-2 596'!$I:$I,$A38,'Ф-2 596'!$K:$K)</f>
        <v>9</v>
      </c>
      <c r="I38" s="92" t="e">
        <f>SUMIF(#REF!,$A38,#REF!)</f>
        <v>#REF!</v>
      </c>
      <c r="J38" s="92" t="e">
        <f>SUMIF(#REF!,$A38,#REF!)</f>
        <v>#REF!</v>
      </c>
      <c r="K38" s="92">
        <f>SUMIF('Ф-1 583 '!$I:$I,$A38,'Ф-1 583 '!$K:$K)</f>
        <v>3</v>
      </c>
      <c r="L38" s="92" t="e">
        <f>SUMIF(#REF!,$A38,#REF!)</f>
        <v>#REF!</v>
      </c>
      <c r="M38" s="92"/>
      <c r="N38" s="89" t="e">
        <f>+E38+H38+J38</f>
        <v>#REF!</v>
      </c>
      <c r="O38" s="92"/>
      <c r="P38" s="92"/>
      <c r="Q38" s="93"/>
      <c r="R38" s="81" t="e">
        <f t="shared" si="1"/>
        <v>#REF!</v>
      </c>
    </row>
    <row r="39" spans="1:18" hidden="1">
      <c r="A39" s="40" t="str">
        <f>+Матер!A37</f>
        <v>ОПОРА СВ-105 МОМЕНТ 5</v>
      </c>
      <c r="B39" s="85" t="str">
        <f>+Матер!B37</f>
        <v>шт</v>
      </c>
      <c r="C39" s="86" t="e">
        <f>+Матер!#REF!</f>
        <v>#REF!</v>
      </c>
      <c r="D39" s="86"/>
      <c r="E39" s="89" t="e">
        <f>SUMIF(#REF!,$A39,#REF!)</f>
        <v>#REF!</v>
      </c>
      <c r="F39" s="89"/>
      <c r="G39" s="89" t="e">
        <f>SUMIF(#REF!,$A39,#REF!)</f>
        <v>#REF!</v>
      </c>
      <c r="H39" s="89">
        <f>SUMIF('Ф-2 596'!$I:$I,$A39,'Ф-2 596'!$K:$K)</f>
        <v>0</v>
      </c>
      <c r="I39" s="89" t="e">
        <f>SUMIF(#REF!,$A39,#REF!)</f>
        <v>#REF!</v>
      </c>
      <c r="J39" s="89" t="e">
        <f>SUMIF(#REF!,$A39,#REF!)</f>
        <v>#REF!</v>
      </c>
      <c r="K39" s="89">
        <f>SUMIF('Ф-1 583 '!$I:$I,$A39,'Ф-1 583 '!$K:$K)</f>
        <v>0</v>
      </c>
      <c r="L39" s="89" t="e">
        <f>SUMIF(#REF!,$A39,#REF!)</f>
        <v>#REF!</v>
      </c>
      <c r="M39" s="89"/>
      <c r="N39" s="89"/>
      <c r="O39" s="89"/>
      <c r="P39" s="89"/>
      <c r="Q39" s="90"/>
      <c r="R39" s="23" t="e">
        <f t="shared" si="1"/>
        <v>#REF!</v>
      </c>
    </row>
    <row r="40" spans="1:18">
      <c r="A40" s="40" t="str">
        <f>+Матер!A38</f>
        <v>ОПОРА СВ105-3.5</v>
      </c>
      <c r="B40" s="85" t="str">
        <f>+Матер!B38</f>
        <v>шт</v>
      </c>
      <c r="C40" s="86" t="e">
        <f>+Матер!#REF!</f>
        <v>#REF!</v>
      </c>
      <c r="D40" s="86"/>
      <c r="E40" s="114" t="e">
        <f>SUMIF(#REF!,$A40,#REF!)</f>
        <v>#REF!</v>
      </c>
      <c r="F40" s="114" t="e">
        <f>SUMIF(#REF!,$A40,#REF!)</f>
        <v>#REF!</v>
      </c>
      <c r="G40" s="114" t="e">
        <f>SUMIF(#REF!,$A40,#REF!)</f>
        <v>#REF!</v>
      </c>
      <c r="H40" s="114">
        <f>SUMIF('Ф-2 596'!$I:$I,$A40,'Ф-2 596'!$K:$K)</f>
        <v>26</v>
      </c>
      <c r="I40" s="114" t="e">
        <f>SUMIF(#REF!,$A40,#REF!)</f>
        <v>#REF!</v>
      </c>
      <c r="J40" s="114" t="e">
        <f>SUMIF(#REF!,$A40,#REF!)</f>
        <v>#REF!</v>
      </c>
      <c r="K40" s="114">
        <f>SUMIF('Ф-1 583 '!$I:$I,$A40,'Ф-1 583 '!$K:$K)</f>
        <v>42</v>
      </c>
      <c r="L40" s="114" t="e">
        <f>SUMIF(#REF!,$A40,#REF!)</f>
        <v>#REF!</v>
      </c>
      <c r="M40" s="89"/>
      <c r="N40" s="89"/>
      <c r="O40" s="89"/>
      <c r="P40" s="89"/>
      <c r="Q40" s="90"/>
      <c r="R40" s="11" t="e">
        <f>SUM(E40:Q40)</f>
        <v>#REF!</v>
      </c>
    </row>
    <row r="41" spans="1:18" hidden="1">
      <c r="A41" s="40" t="str">
        <f>+Матер!A39</f>
        <v>ПОЛОСА СТАЛЬНАЯ 40Х4</v>
      </c>
      <c r="B41" s="85" t="str">
        <f>+Матер!B39</f>
        <v>т</v>
      </c>
      <c r="C41" s="86">
        <f>+Матер!C26</f>
        <v>186.75</v>
      </c>
      <c r="D41" s="86"/>
      <c r="E41" s="89" t="e">
        <f>SUMIF(#REF!,$A41,#REF!)</f>
        <v>#REF!</v>
      </c>
      <c r="F41" s="89"/>
      <c r="G41" s="89" t="e">
        <f>SUMIF(#REF!,$A41,#REF!)</f>
        <v>#REF!</v>
      </c>
      <c r="H41" s="89">
        <f>SUMIF('Ф-2 596'!$I:$I,$A41,'Ф-2 596'!$K:$K)</f>
        <v>0</v>
      </c>
      <c r="I41" s="89" t="e">
        <f>SUMIF(#REF!,$A41,#REF!)</f>
        <v>#REF!</v>
      </c>
      <c r="J41" s="89" t="e">
        <f>SUMIF(#REF!,$A41,#REF!)</f>
        <v>#REF!</v>
      </c>
      <c r="K41" s="89">
        <f>SUMIF('Ф-1 583 '!$I:$I,$A41,'Ф-1 583 '!$K:$K)</f>
        <v>0</v>
      </c>
      <c r="L41" s="89" t="e">
        <f>SUMIF(#REF!,$A41,#REF!)</f>
        <v>#REF!</v>
      </c>
      <c r="M41" s="89"/>
      <c r="N41" s="89"/>
      <c r="O41" s="89"/>
      <c r="P41" s="89"/>
      <c r="Q41" s="90"/>
      <c r="R41" s="23" t="e">
        <f t="shared" si="1"/>
        <v>#REF!</v>
      </c>
    </row>
    <row r="42" spans="1:18" hidden="1">
      <c r="A42" s="40" t="str">
        <f>+Матер!A40</f>
        <v>ПРИСТАВКИ ПТ43-2</v>
      </c>
      <c r="B42" s="85" t="str">
        <f>+Матер!B40</f>
        <v>шт</v>
      </c>
      <c r="C42" s="86">
        <f>+Матер!C27</f>
        <v>100</v>
      </c>
      <c r="D42" s="86"/>
      <c r="E42" s="89" t="e">
        <f>SUMIF(#REF!,$A42,#REF!)</f>
        <v>#REF!</v>
      </c>
      <c r="F42" s="89"/>
      <c r="G42" s="89" t="e">
        <f>SUMIF(#REF!,$A42,#REF!)</f>
        <v>#REF!</v>
      </c>
      <c r="H42" s="89">
        <f>SUMIF('Ф-2 596'!$I:$I,$A42,'Ф-2 596'!$K:$K)</f>
        <v>0</v>
      </c>
      <c r="I42" s="89" t="e">
        <f>SUMIF(#REF!,$A42,#REF!)</f>
        <v>#REF!</v>
      </c>
      <c r="J42" s="89" t="e">
        <f>SUMIF(#REF!,$A42,#REF!)</f>
        <v>#REF!</v>
      </c>
      <c r="K42" s="89">
        <f>SUMIF('Ф-1 583 '!$I:$I,$A42,'Ф-1 583 '!$K:$K)</f>
        <v>0</v>
      </c>
      <c r="L42" s="89" t="e">
        <f>SUMIF(#REF!,$A42,#REF!)</f>
        <v>#REF!</v>
      </c>
      <c r="M42" s="89"/>
      <c r="N42" s="89"/>
      <c r="O42" s="89"/>
      <c r="P42" s="89"/>
      <c r="Q42" s="90"/>
      <c r="R42" s="94" t="e">
        <f t="shared" si="1"/>
        <v>#REF!</v>
      </c>
    </row>
    <row r="43" spans="1:18" hidden="1">
      <c r="A43" s="40" t="str">
        <f>+Матер!A41</f>
        <v>Провод медный гибкий ПМГ5 25</v>
      </c>
      <c r="B43" s="85" t="str">
        <f>+Матер!B41</f>
        <v>км</v>
      </c>
      <c r="C43" s="86">
        <f>+Матер!C28</f>
        <v>20</v>
      </c>
      <c r="D43" s="86"/>
      <c r="E43" s="89" t="e">
        <f>SUMIF(#REF!,$A43,#REF!)</f>
        <v>#REF!</v>
      </c>
      <c r="F43" s="89"/>
      <c r="G43" s="89" t="e">
        <f>SUMIF(#REF!,$A43,#REF!)</f>
        <v>#REF!</v>
      </c>
      <c r="H43" s="89">
        <f>SUMIF('Ф-2 596'!$I:$I,$A43,'Ф-2 596'!$K:$K)</f>
        <v>0</v>
      </c>
      <c r="I43" s="89" t="e">
        <f>SUMIF(#REF!,$A43,#REF!)</f>
        <v>#REF!</v>
      </c>
      <c r="J43" s="89" t="e">
        <f>SUMIF(#REF!,$A43,#REF!)</f>
        <v>#REF!</v>
      </c>
      <c r="K43" s="89">
        <f>SUMIF('Ф-1 583 '!$I:$I,$A43,'Ф-1 583 '!$K:$K)</f>
        <v>0</v>
      </c>
      <c r="L43" s="89" t="e">
        <f>SUMIF(#REF!,$A43,#REF!)</f>
        <v>#REF!</v>
      </c>
      <c r="M43" s="89"/>
      <c r="N43" s="89"/>
      <c r="O43" s="89"/>
      <c r="P43" s="89"/>
      <c r="Q43" s="90"/>
      <c r="R43" s="23" t="e">
        <f t="shared" si="1"/>
        <v>#REF!</v>
      </c>
    </row>
    <row r="44" spans="1:18" ht="25.5">
      <c r="A44" s="40" t="str">
        <f>+Матер!A42</f>
        <v>Провод САМОНЕСУЩ.АЛ.ЖИЛ.ПЭ.ИЗОЛЯЦ БЕЗ НЕСУЩ.ЖИЛ.НАП1КВ  СИП-4 2Х16</v>
      </c>
      <c r="B44" s="85" t="str">
        <f>+Матер!B42</f>
        <v>км</v>
      </c>
      <c r="C44" s="86">
        <f>+Матер!C29</f>
        <v>1300</v>
      </c>
      <c r="D44" s="86"/>
      <c r="E44" s="89" t="e">
        <f>SUMIF(#REF!,$A44,#REF!)</f>
        <v>#REF!</v>
      </c>
      <c r="F44" s="89"/>
      <c r="G44" s="89" t="e">
        <f>SUMIF(#REF!,$A44,#REF!)</f>
        <v>#REF!</v>
      </c>
      <c r="H44" s="89">
        <f>SUMIF('Ф-2 596'!$I:$I,$A44,'Ф-2 596'!$K:$K)</f>
        <v>240</v>
      </c>
      <c r="I44" s="89" t="e">
        <f>SUMIF(#REF!,$A44,#REF!)</f>
        <v>#REF!</v>
      </c>
      <c r="J44" s="89" t="e">
        <f>SUMIF(#REF!,$A44,#REF!)</f>
        <v>#REF!</v>
      </c>
      <c r="K44" s="89">
        <f>SUMIF('Ф-1 583 '!$I:$I,$A44,'Ф-1 583 '!$K:$K)</f>
        <v>180</v>
      </c>
      <c r="L44" s="89" t="e">
        <f>SUMIF(#REF!,$A44,#REF!)</f>
        <v>#REF!</v>
      </c>
      <c r="M44" s="89"/>
      <c r="N44" s="89" t="e">
        <f>+E44+H44+J44</f>
        <v>#REF!</v>
      </c>
      <c r="O44" s="89"/>
      <c r="P44" s="89"/>
      <c r="Q44" s="90"/>
      <c r="R44" s="23" t="e">
        <f t="shared" si="1"/>
        <v>#REF!</v>
      </c>
    </row>
    <row r="45" spans="1:18" ht="25.5" hidden="1">
      <c r="A45" s="40" t="str">
        <f>+Матер!A43</f>
        <v>Провод САМОНЕСУЩ.АЛ.ЖИЛ.ПЭ.ИЗОЛЯЦ БЕЗ НЕСУЩ.ЖИЛ.НАП1КВ  СИП-4 2Х16 Б/У</v>
      </c>
      <c r="B45" s="85" t="str">
        <f>+Матер!B43</f>
        <v>км</v>
      </c>
      <c r="C45" s="86" t="e">
        <f>+Матер!#REF!</f>
        <v>#REF!</v>
      </c>
      <c r="D45" s="86"/>
      <c r="E45" s="89" t="e">
        <f>SUMIF(#REF!,$A45,#REF!)</f>
        <v>#REF!</v>
      </c>
      <c r="F45" s="89"/>
      <c r="G45" s="89" t="e">
        <f>SUMIF(#REF!,$A45,#REF!)</f>
        <v>#REF!</v>
      </c>
      <c r="H45" s="89">
        <f>SUMIF('Ф-2 596'!$I:$I,$A45,'Ф-2 596'!$K:$K)</f>
        <v>0</v>
      </c>
      <c r="I45" s="89" t="e">
        <f>SUMIF(#REF!,$A45,#REF!)</f>
        <v>#REF!</v>
      </c>
      <c r="J45" s="89" t="e">
        <f>SUMIF(#REF!,$A45,#REF!)</f>
        <v>#REF!</v>
      </c>
      <c r="K45" s="89">
        <f>SUMIF('Ф-1 583 '!$I:$I,$A45,'Ф-1 583 '!$K:$K)</f>
        <v>0</v>
      </c>
      <c r="L45" s="89" t="e">
        <f>SUMIF(#REF!,$A45,#REF!)</f>
        <v>#REF!</v>
      </c>
      <c r="M45" s="89"/>
      <c r="N45" s="89"/>
      <c r="O45" s="89"/>
      <c r="P45" s="89"/>
      <c r="Q45" s="90"/>
      <c r="R45" s="11" t="e">
        <f t="shared" si="1"/>
        <v>#REF!</v>
      </c>
    </row>
    <row r="46" spans="1:18" ht="25.5">
      <c r="A46" s="40" t="str">
        <f>+Матер!A44</f>
        <v>Провод САМОНЕСУЩ.АЛ.ЖИЛ.ПЭ.ИЗОЛЯЦ БЕЗ НЕСУЩ.ЖИЛ.НАП1КВ  СИП-4 4Х16</v>
      </c>
      <c r="B46" s="85" t="str">
        <f>+Матер!B44</f>
        <v>км</v>
      </c>
      <c r="C46" s="86" t="e">
        <f>+Матер!#REF!</f>
        <v>#REF!</v>
      </c>
      <c r="D46" s="86"/>
      <c r="E46" s="89" t="e">
        <f>SUMIF(#REF!,$A46,#REF!)</f>
        <v>#REF!</v>
      </c>
      <c r="F46" s="89"/>
      <c r="G46" s="89" t="e">
        <f>SUMIF(#REF!,$A46,#REF!)</f>
        <v>#REF!</v>
      </c>
      <c r="H46" s="89">
        <f>SUMIF('Ф-2 596'!$I:$I,$A46,'Ф-2 596'!$K:$K)</f>
        <v>45</v>
      </c>
      <c r="I46" s="89" t="e">
        <f>SUMIF(#REF!,$A46,#REF!)</f>
        <v>#REF!</v>
      </c>
      <c r="J46" s="89" t="e">
        <f>SUMIF(#REF!,$A46,#REF!)</f>
        <v>#REF!</v>
      </c>
      <c r="K46" s="89">
        <f>SUMIF('Ф-1 583 '!$I:$I,$A46,'Ф-1 583 '!$K:$K)</f>
        <v>15</v>
      </c>
      <c r="L46" s="89" t="e">
        <f>SUMIF(#REF!,$A46,#REF!)</f>
        <v>#REF!</v>
      </c>
      <c r="M46" s="89"/>
      <c r="N46" s="89" t="e">
        <f>+E46+H46+J46</f>
        <v>#REF!</v>
      </c>
      <c r="O46" s="89"/>
      <c r="P46" s="89"/>
      <c r="Q46" s="90"/>
      <c r="R46" s="11" t="e">
        <f t="shared" si="1"/>
        <v>#REF!</v>
      </c>
    </row>
    <row r="47" spans="1:18" ht="25.5" hidden="1">
      <c r="A47" s="40" t="str">
        <f>+Матер!A45</f>
        <v>Провод САМОНЕСУЩ.АЛ.ЖИЛ.ПЭ.ИЗОЛЯЦ БЕЗ НЕСУЩ.ЖИЛ.НАП1КВ  СИП-4 4Х16 Б/У</v>
      </c>
      <c r="B47" s="85" t="str">
        <f>+Матер!B45</f>
        <v>км</v>
      </c>
      <c r="C47" s="86" t="e">
        <f>+Матер!#REF!</f>
        <v>#REF!</v>
      </c>
      <c r="D47" s="86"/>
      <c r="E47" s="89" t="e">
        <f>SUMIF(#REF!,$A47,#REF!)</f>
        <v>#REF!</v>
      </c>
      <c r="F47" s="89"/>
      <c r="G47" s="89" t="e">
        <f>SUMIF(#REF!,$A47,#REF!)</f>
        <v>#REF!</v>
      </c>
      <c r="H47" s="89">
        <f>SUMIF('Ф-2 596'!$I:$I,$A47,'Ф-2 596'!$K:$K)</f>
        <v>0</v>
      </c>
      <c r="I47" s="89" t="e">
        <f>SUMIF(#REF!,$A47,#REF!)</f>
        <v>#REF!</v>
      </c>
      <c r="J47" s="89" t="e">
        <f>SUMIF(#REF!,$A47,#REF!)</f>
        <v>#REF!</v>
      </c>
      <c r="K47" s="89">
        <f>SUMIF('Ф-1 583 '!$I:$I,$A47,'Ф-1 583 '!$K:$K)</f>
        <v>0</v>
      </c>
      <c r="L47" s="89" t="e">
        <f>SUMIF(#REF!,$A47,#REF!)</f>
        <v>#REF!</v>
      </c>
      <c r="M47" s="89"/>
      <c r="N47" s="89"/>
      <c r="O47" s="89"/>
      <c r="P47" s="89"/>
      <c r="Q47" s="90"/>
      <c r="R47" s="23" t="e">
        <f t="shared" si="1"/>
        <v>#REF!</v>
      </c>
    </row>
    <row r="48" spans="1:18" ht="25.5" hidden="1">
      <c r="A48" s="40" t="str">
        <f>+Матер!A46</f>
        <v>Провод САМОНЕСУЩ.АЛ.ЖИЛ.ПЭ.ИЗОЛЯЦ С НЕСУЩ.ИЗОЛ.ЖИЛ.НАП1КВ  СИП-2 3Х50+1Х54.6</v>
      </c>
      <c r="B48" s="85" t="str">
        <f>+Матер!B46</f>
        <v>км</v>
      </c>
      <c r="C48" s="86" t="e">
        <f>+Матер!#REF!</f>
        <v>#REF!</v>
      </c>
      <c r="D48" s="86"/>
      <c r="E48" s="89" t="e">
        <f>SUMIF(#REF!,$A48,#REF!)</f>
        <v>#REF!</v>
      </c>
      <c r="F48" s="89"/>
      <c r="G48" s="89" t="e">
        <f>SUMIF(#REF!,$A48,#REF!)</f>
        <v>#REF!</v>
      </c>
      <c r="H48" s="89">
        <f>SUMIF('Ф-2 596'!$I:$I,$A48,'Ф-2 596'!$K:$K)</f>
        <v>0</v>
      </c>
      <c r="I48" s="89" t="e">
        <f>SUMIF(#REF!,$A48,#REF!)</f>
        <v>#REF!</v>
      </c>
      <c r="J48" s="89" t="e">
        <f>SUMIF(#REF!,$A48,#REF!)</f>
        <v>#REF!</v>
      </c>
      <c r="K48" s="89">
        <f>SUMIF('Ф-1 583 '!$I:$I,$A48,'Ф-1 583 '!$K:$K)</f>
        <v>0</v>
      </c>
      <c r="L48" s="89" t="e">
        <f>SUMIF(#REF!,$A48,#REF!)</f>
        <v>#REF!</v>
      </c>
      <c r="M48" s="89"/>
      <c r="N48" s="89"/>
      <c r="O48" s="89"/>
      <c r="P48" s="89"/>
      <c r="Q48" s="90"/>
      <c r="R48" s="23" t="e">
        <f t="shared" si="1"/>
        <v>#REF!</v>
      </c>
    </row>
    <row r="49" spans="1:19" ht="38.25" hidden="1">
      <c r="A49" s="40" t="str">
        <f>+Матер!A47</f>
        <v>Провод САМОНЕСУЩ.АЛ.ЖИЛ.ПЭ.ИЗОЛЯЦ С НЕСУЩ.ИЗОЛ.ЖИЛ.НАП1КВ  СИП-2 3Х50+1Х54.6 Б/У</v>
      </c>
      <c r="B49" s="85" t="str">
        <f>+Матер!B47</f>
        <v>км</v>
      </c>
      <c r="C49" s="86">
        <f>+Матер!C30</f>
        <v>53000</v>
      </c>
      <c r="D49" s="86"/>
      <c r="E49" s="89" t="e">
        <f>SUMIF(#REF!,$A49,#REF!)</f>
        <v>#REF!</v>
      </c>
      <c r="F49" s="89"/>
      <c r="G49" s="89" t="e">
        <f>SUMIF(#REF!,$A49,#REF!)</f>
        <v>#REF!</v>
      </c>
      <c r="H49" s="89">
        <f>SUMIF('Ф-2 596'!$I:$I,$A49,'Ф-2 596'!$K:$K)</f>
        <v>0</v>
      </c>
      <c r="I49" s="89" t="e">
        <f>SUMIF(#REF!,$A49,#REF!)</f>
        <v>#REF!</v>
      </c>
      <c r="J49" s="89" t="e">
        <f>SUMIF(#REF!,$A49,#REF!)</f>
        <v>#REF!</v>
      </c>
      <c r="K49" s="89">
        <f>SUMIF('Ф-1 583 '!$I:$I,$A49,'Ф-1 583 '!$K:$K)</f>
        <v>0</v>
      </c>
      <c r="L49" s="89" t="e">
        <f>SUMIF(#REF!,$A49,#REF!)</f>
        <v>#REF!</v>
      </c>
      <c r="M49" s="89"/>
      <c r="N49" s="89"/>
      <c r="O49" s="89"/>
      <c r="P49" s="89"/>
      <c r="Q49" s="90"/>
      <c r="R49" s="23" t="e">
        <f t="shared" si="1"/>
        <v>#REF!</v>
      </c>
    </row>
    <row r="50" spans="1:19" s="74" customFormat="1" ht="25.5">
      <c r="A50" s="40" t="str">
        <f>+Матер!A48</f>
        <v>Провод САМОНЕСУЩ.АЛ.ЖИЛ.ПЭ.ИЗОЛЯЦ С НЕСУЩ.ИЗОЛ.ЖИЛ.НАП1КВ  СИП-2 3Х70+1Х54.6</v>
      </c>
      <c r="B50" s="85" t="str">
        <f>+Матер!B48</f>
        <v>км</v>
      </c>
      <c r="C50" s="80">
        <f>+Матер!C31</f>
        <v>53000</v>
      </c>
      <c r="D50" s="80"/>
      <c r="E50" s="89" t="e">
        <f>SUMIF(#REF!,$A50,#REF!)</f>
        <v>#REF!</v>
      </c>
      <c r="F50" s="89"/>
      <c r="G50" s="89" t="e">
        <f>SUMIF(#REF!,$A50,#REF!)</f>
        <v>#REF!</v>
      </c>
      <c r="H50" s="89">
        <f>SUMIF('Ф-2 596'!$I:$I,$A50,'Ф-2 596'!$K:$K)</f>
        <v>0.45696000000000003</v>
      </c>
      <c r="I50" s="89" t="e">
        <f>SUMIF(#REF!,$A50,#REF!)</f>
        <v>#REF!</v>
      </c>
      <c r="J50" s="89" t="e">
        <f>SUMIF(#REF!,$A50,#REF!)</f>
        <v>#REF!</v>
      </c>
      <c r="K50" s="89">
        <f>SUMIF('Ф-1 583 '!$I:$I,$A50,'Ф-1 583 '!$K:$K)</f>
        <v>0.41615999999999997</v>
      </c>
      <c r="L50" s="89" t="e">
        <f>SUMIF(#REF!,$A50,#REF!)</f>
        <v>#REF!</v>
      </c>
      <c r="M50" s="89"/>
      <c r="N50" s="89" t="e">
        <f>+E50+H50+J50</f>
        <v>#REF!</v>
      </c>
      <c r="O50" s="89"/>
      <c r="P50" s="89"/>
      <c r="Q50" s="90"/>
      <c r="R50" s="23" t="e">
        <f t="shared" si="1"/>
        <v>#REF!</v>
      </c>
      <c r="S50" s="11"/>
    </row>
    <row r="51" spans="1:19" s="74" customFormat="1" ht="25.5" hidden="1">
      <c r="A51" s="40" t="str">
        <f>+Матер!A49</f>
        <v>Провод СКРУЧЕННЫЙ ИЗ АЛЮМИНИЕВЫХ ПРОВОЛОК СЕЧЕН.50ММ\2  А 50</v>
      </c>
      <c r="B51" s="85" t="str">
        <f>+Матер!B49</f>
        <v>т</v>
      </c>
      <c r="C51" s="80">
        <f>+Матер!C32</f>
        <v>53000</v>
      </c>
      <c r="D51" s="80"/>
      <c r="E51" s="89" t="e">
        <f>SUMIF(#REF!,$A51,#REF!)</f>
        <v>#REF!</v>
      </c>
      <c r="F51" s="89"/>
      <c r="G51" s="89" t="e">
        <f>SUMIF(#REF!,$A51,#REF!)</f>
        <v>#REF!</v>
      </c>
      <c r="H51" s="89">
        <f>SUMIF('Ф-2 596'!$I:$I,$A51,'Ф-2 596'!$K:$K)</f>
        <v>0</v>
      </c>
      <c r="I51" s="89" t="e">
        <f>SUMIF(#REF!,$A51,#REF!)</f>
        <v>#REF!</v>
      </c>
      <c r="J51" s="89" t="e">
        <f>SUMIF(#REF!,$A51,#REF!)</f>
        <v>#REF!</v>
      </c>
      <c r="K51" s="89">
        <f>SUMIF('Ф-1 583 '!$I:$I,$A51,'Ф-1 583 '!$K:$K)</f>
        <v>0</v>
      </c>
      <c r="L51" s="89" t="e">
        <f>SUMIF(#REF!,$A51,#REF!)</f>
        <v>#REF!</v>
      </c>
      <c r="M51" s="89"/>
      <c r="N51" s="89"/>
      <c r="O51" s="89"/>
      <c r="P51" s="89"/>
      <c r="Q51" s="90"/>
      <c r="R51" s="11" t="e">
        <f t="shared" si="1"/>
        <v>#REF!</v>
      </c>
      <c r="S51" s="11"/>
    </row>
    <row r="52" spans="1:19" s="74" customFormat="1">
      <c r="A52" s="40" t="str">
        <f>+Матер!A50</f>
        <v>Скрепа С 20</v>
      </c>
      <c r="B52" s="85" t="str">
        <f>+Матер!B50</f>
        <v>упак/100шт</v>
      </c>
      <c r="C52" s="80">
        <f>+Матер!C33</f>
        <v>75.03</v>
      </c>
      <c r="D52" s="80"/>
      <c r="E52" s="89" t="e">
        <f>SUMIF(#REF!,$A52,#REF!)</f>
        <v>#REF!</v>
      </c>
      <c r="F52" s="89"/>
      <c r="G52" s="89" t="e">
        <f>SUMIF(#REF!,$A52,#REF!)</f>
        <v>#REF!</v>
      </c>
      <c r="H52" s="89">
        <f>SUMIF('Ф-2 596'!$I:$I,$A52,'Ф-2 596'!$K:$K)</f>
        <v>0.7</v>
      </c>
      <c r="I52" s="89" t="e">
        <f>SUMIF(#REF!,$A52,#REF!)</f>
        <v>#REF!</v>
      </c>
      <c r="J52" s="89" t="e">
        <f>SUMIF(#REF!,$A52,#REF!)</f>
        <v>#REF!</v>
      </c>
      <c r="K52" s="89">
        <f>SUMIF('Ф-1 583 '!$I:$I,$A52,'Ф-1 583 '!$K:$K)</f>
        <v>0.66</v>
      </c>
      <c r="L52" s="89" t="e">
        <f>SUMIF(#REF!,$A52,#REF!)</f>
        <v>#REF!</v>
      </c>
      <c r="M52" s="89"/>
      <c r="N52" s="89" t="e">
        <f>+E52+H52+J52</f>
        <v>#REF!</v>
      </c>
      <c r="O52" s="89"/>
      <c r="P52" s="89"/>
      <c r="Q52" s="90"/>
      <c r="R52" s="11" t="e">
        <f t="shared" si="1"/>
        <v>#REF!</v>
      </c>
      <c r="S52" s="11"/>
    </row>
    <row r="53" spans="1:19" s="74" customFormat="1" hidden="1">
      <c r="A53" s="40" t="str">
        <f>+Матер!A51</f>
        <v>Уайт-Спирит мелкая фасовка</v>
      </c>
      <c r="B53" s="85" t="str">
        <f>+Матер!B51</f>
        <v>кг</v>
      </c>
      <c r="C53" s="80" t="e">
        <f>+Матер!#REF!</f>
        <v>#REF!</v>
      </c>
      <c r="D53" s="80"/>
      <c r="E53" s="89" t="e">
        <f>SUMIF(#REF!,$A53,#REF!)</f>
        <v>#REF!</v>
      </c>
      <c r="F53" s="89"/>
      <c r="G53" s="89" t="e">
        <f>SUMIF(#REF!,$A53,#REF!)</f>
        <v>#REF!</v>
      </c>
      <c r="H53" s="89">
        <f>SUMIF('Ф-2 596'!$I:$I,$A53,'Ф-2 596'!$K:$K)</f>
        <v>0</v>
      </c>
      <c r="I53" s="89" t="e">
        <f>SUMIF(#REF!,$A53,#REF!)</f>
        <v>#REF!</v>
      </c>
      <c r="J53" s="89" t="e">
        <f>SUMIF(#REF!,$A53,#REF!)</f>
        <v>#REF!</v>
      </c>
      <c r="K53" s="89">
        <f>SUMIF('Ф-1 583 '!$I:$I,$A53,'Ф-1 583 '!$K:$K)</f>
        <v>0</v>
      </c>
      <c r="L53" s="89" t="e">
        <f>SUMIF(#REF!,$A53,#REF!)</f>
        <v>#REF!</v>
      </c>
      <c r="M53" s="89"/>
      <c r="N53" s="89"/>
      <c r="O53" s="89"/>
      <c r="P53" s="89"/>
      <c r="Q53" s="90"/>
      <c r="R53" s="11" t="e">
        <f t="shared" si="1"/>
        <v>#REF!</v>
      </c>
      <c r="S53" s="11"/>
    </row>
    <row r="54" spans="1:19" s="74" customFormat="1" hidden="1">
      <c r="A54" s="40" t="str">
        <f>+Матер!A52</f>
        <v>Электрод МР-3C Ф 3 мм</v>
      </c>
      <c r="B54" s="85" t="str">
        <f>+Матер!B52</f>
        <v>кг</v>
      </c>
      <c r="C54" s="80">
        <f>+Матер!C34</f>
        <v>1500</v>
      </c>
      <c r="D54" s="80"/>
      <c r="E54" s="89" t="e">
        <f>SUMIF(#REF!,$A54,#REF!)</f>
        <v>#REF!</v>
      </c>
      <c r="F54" s="89"/>
      <c r="G54" s="89" t="e">
        <f>SUMIF(#REF!,$A54,#REF!)</f>
        <v>#REF!</v>
      </c>
      <c r="H54" s="89">
        <f>SUMIF('Ф-2 596'!$I:$I,$A54,'Ф-2 596'!$K:$K)</f>
        <v>0</v>
      </c>
      <c r="I54" s="89" t="e">
        <f>SUMIF(#REF!,$A54,#REF!)</f>
        <v>#REF!</v>
      </c>
      <c r="J54" s="89" t="e">
        <f>SUMIF(#REF!,$A54,#REF!)</f>
        <v>#REF!</v>
      </c>
      <c r="K54" s="89">
        <f>SUMIF('Ф-1 583 '!$I:$I,$A54,'Ф-1 583 '!$K:$K)</f>
        <v>0</v>
      </c>
      <c r="L54" s="89" t="e">
        <f>SUMIF(#REF!,$A54,#REF!)</f>
        <v>#REF!</v>
      </c>
      <c r="M54" s="89"/>
      <c r="N54" s="89"/>
      <c r="O54" s="89"/>
      <c r="P54" s="89"/>
      <c r="Q54" s="90"/>
      <c r="R54" s="23" t="e">
        <f t="shared" si="1"/>
        <v>#REF!</v>
      </c>
      <c r="S54" s="11"/>
    </row>
    <row r="55" spans="1:19" hidden="1">
      <c r="A55" s="40" t="str">
        <f>+Матер!A53</f>
        <v>Эмаль ПФ-115 мелкая фасовка желтая</v>
      </c>
      <c r="B55" s="85" t="str">
        <f>+Матер!B53</f>
        <v>кг</v>
      </c>
      <c r="C55" s="86" t="e">
        <f>+Матер!#REF!</f>
        <v>#REF!</v>
      </c>
      <c r="D55" s="86"/>
      <c r="E55" s="89" t="e">
        <f>SUMIF(#REF!,$A55,#REF!)</f>
        <v>#REF!</v>
      </c>
      <c r="F55" s="89"/>
      <c r="G55" s="89" t="e">
        <f>SUMIF(#REF!,$A55,#REF!)</f>
        <v>#REF!</v>
      </c>
      <c r="H55" s="89">
        <f>SUMIF('Ф-2 596'!$I:$I,$A55,'Ф-2 596'!$K:$K)</f>
        <v>0</v>
      </c>
      <c r="I55" s="89" t="e">
        <f>SUMIF(#REF!,$A55,#REF!)</f>
        <v>#REF!</v>
      </c>
      <c r="J55" s="89" t="e">
        <f>SUMIF(#REF!,$A55,#REF!)</f>
        <v>#REF!</v>
      </c>
      <c r="K55" s="89">
        <f>SUMIF('Ф-1 583 '!$I:$I,$A55,'Ф-1 583 '!$K:$K)</f>
        <v>0</v>
      </c>
      <c r="L55" s="89" t="e">
        <f>SUMIF(#REF!,$A55,#REF!)</f>
        <v>#REF!</v>
      </c>
      <c r="M55" s="89"/>
      <c r="N55" s="89"/>
      <c r="O55" s="89"/>
      <c r="P55" s="89"/>
      <c r="Q55" s="90"/>
      <c r="R55" s="11" t="e">
        <f t="shared" si="1"/>
        <v>#REF!</v>
      </c>
    </row>
    <row r="56" spans="1:19" hidden="1">
      <c r="A56" s="40" t="str">
        <f>+Матер!A54</f>
        <v>Эмаль ПФ-115 мелкая фасовка зеленая</v>
      </c>
      <c r="B56" s="85" t="str">
        <f>+Матер!B54</f>
        <v>кг</v>
      </c>
      <c r="C56" s="86" t="e">
        <f>+Матер!#REF!</f>
        <v>#REF!</v>
      </c>
      <c r="D56" s="86"/>
      <c r="E56" s="89" t="e">
        <f>SUMIF(#REF!,$A56,#REF!)</f>
        <v>#REF!</v>
      </c>
      <c r="F56" s="89"/>
      <c r="G56" s="89" t="e">
        <f>SUMIF(#REF!,$A56,#REF!)</f>
        <v>#REF!</v>
      </c>
      <c r="H56" s="89">
        <f>SUMIF('Ф-2 596'!$I:$I,$A56,'Ф-2 596'!$K:$K)</f>
        <v>0</v>
      </c>
      <c r="I56" s="89" t="e">
        <f>SUMIF(#REF!,$A56,#REF!)</f>
        <v>#REF!</v>
      </c>
      <c r="J56" s="89" t="e">
        <f>SUMIF(#REF!,$A56,#REF!)</f>
        <v>#REF!</v>
      </c>
      <c r="K56" s="89">
        <f>SUMIF('Ф-1 583 '!$I:$I,$A56,'Ф-1 583 '!$K:$K)</f>
        <v>0</v>
      </c>
      <c r="L56" s="89" t="e">
        <f>SUMIF(#REF!,$A56,#REF!)</f>
        <v>#REF!</v>
      </c>
      <c r="M56" s="89"/>
      <c r="N56" s="89"/>
      <c r="O56" s="89"/>
      <c r="P56" s="89"/>
      <c r="Q56" s="90"/>
      <c r="R56" s="23" t="e">
        <f t="shared" si="1"/>
        <v>#REF!</v>
      </c>
    </row>
    <row r="57" spans="1:19" hidden="1">
      <c r="A57" s="40" t="str">
        <f>+Матер!A55</f>
        <v>Эмаль ПФ-115 мелкая фасовка красная</v>
      </c>
      <c r="B57" s="85" t="str">
        <f>+Матер!B55</f>
        <v>кг</v>
      </c>
      <c r="C57" s="86">
        <f>+Матер!C35</f>
        <v>80</v>
      </c>
      <c r="D57" s="86"/>
      <c r="E57" s="89" t="e">
        <f>SUMIF(#REF!,$A57,#REF!)</f>
        <v>#REF!</v>
      </c>
      <c r="F57" s="89"/>
      <c r="G57" s="89" t="e">
        <f>SUMIF(#REF!,$A57,#REF!)</f>
        <v>#REF!</v>
      </c>
      <c r="H57" s="89">
        <f>SUMIF('Ф-2 596'!$I:$I,$A57,'Ф-2 596'!$K:$K)</f>
        <v>0</v>
      </c>
      <c r="I57" s="89" t="e">
        <f>SUMIF(#REF!,$A57,#REF!)</f>
        <v>#REF!</v>
      </c>
      <c r="J57" s="89" t="e">
        <f>SUMIF(#REF!,$A57,#REF!)</f>
        <v>#REF!</v>
      </c>
      <c r="K57" s="89">
        <f>SUMIF('Ф-1 583 '!$I:$I,$A57,'Ф-1 583 '!$K:$K)</f>
        <v>0</v>
      </c>
      <c r="L57" s="89" t="e">
        <f>SUMIF(#REF!,$A57,#REF!)</f>
        <v>#REF!</v>
      </c>
      <c r="M57" s="89"/>
      <c r="N57" s="89"/>
      <c r="O57" s="89"/>
      <c r="P57" s="89"/>
      <c r="Q57" s="90"/>
      <c r="R57" s="23" t="e">
        <f t="shared" si="1"/>
        <v>#REF!</v>
      </c>
    </row>
    <row r="58" spans="1:19" hidden="1">
      <c r="A58" s="40" t="str">
        <f>+Матер!A56</f>
        <v>Эмаль ПФ-115 мелкая фасовка серая</v>
      </c>
      <c r="B58" s="85" t="str">
        <f>+Матер!B56</f>
        <v>кг</v>
      </c>
      <c r="C58" s="86" t="e">
        <f>+Матер!#REF!</f>
        <v>#REF!</v>
      </c>
      <c r="D58" s="86"/>
      <c r="E58" s="89" t="e">
        <f>SUMIF(#REF!,$A58,#REF!)</f>
        <v>#REF!</v>
      </c>
      <c r="F58" s="89"/>
      <c r="G58" s="89" t="e">
        <f>SUMIF(#REF!,$A58,#REF!)</f>
        <v>#REF!</v>
      </c>
      <c r="H58" s="89">
        <f>SUMIF('Ф-2 596'!$I:$I,$A58,'Ф-2 596'!$K:$K)</f>
        <v>0</v>
      </c>
      <c r="I58" s="89" t="e">
        <f>SUMIF(#REF!,$A58,#REF!)</f>
        <v>#REF!</v>
      </c>
      <c r="J58" s="89" t="e">
        <f>SUMIF(#REF!,$A58,#REF!)</f>
        <v>#REF!</v>
      </c>
      <c r="K58" s="89">
        <f>SUMIF('Ф-1 583 '!$I:$I,$A58,'Ф-1 583 '!$K:$K)</f>
        <v>0</v>
      </c>
      <c r="L58" s="89" t="e">
        <f>SUMIF(#REF!,$A58,#REF!)</f>
        <v>#REF!</v>
      </c>
      <c r="M58" s="89"/>
      <c r="N58" s="89"/>
      <c r="O58" s="89"/>
      <c r="P58" s="89"/>
      <c r="Q58" s="90"/>
      <c r="R58" s="11" t="e">
        <f t="shared" si="1"/>
        <v>#REF!</v>
      </c>
    </row>
    <row r="59" spans="1:19">
      <c r="A59" s="40" t="str">
        <f>+Матер!A57</f>
        <v>Эмаль ПФ-115 мелкая фасовка черная</v>
      </c>
      <c r="B59" s="85" t="str">
        <f>+Матер!B57</f>
        <v>кг</v>
      </c>
      <c r="C59" s="86" t="e">
        <f>+Матер!#REF!</f>
        <v>#REF!</v>
      </c>
      <c r="D59" s="86"/>
      <c r="E59" s="89" t="e">
        <f>SUMIF(#REF!,$A59,#REF!)</f>
        <v>#REF!</v>
      </c>
      <c r="F59" s="89"/>
      <c r="G59" s="89" t="e">
        <f>SUMIF(#REF!,$A59,#REF!)</f>
        <v>#REF!</v>
      </c>
      <c r="H59" s="89">
        <f>SUMIF('Ф-2 596'!$I:$I,$A59,'Ф-2 596'!$K:$K)</f>
        <v>0</v>
      </c>
      <c r="I59" s="89" t="e">
        <f>SUMIF(#REF!,$A59,#REF!)</f>
        <v>#REF!</v>
      </c>
      <c r="J59" s="89" t="e">
        <f>SUMIF(#REF!,$A59,#REF!)</f>
        <v>#REF!</v>
      </c>
      <c r="K59" s="89">
        <f>SUMIF('Ф-1 583 '!$I:$I,$A59,'Ф-1 583 '!$K:$K)</f>
        <v>0</v>
      </c>
      <c r="L59" s="89" t="e">
        <f>SUMIF(#REF!,$A59,#REF!)</f>
        <v>#REF!</v>
      </c>
      <c r="M59" s="89"/>
      <c r="N59" s="89" t="e">
        <f>+E59+H59+J59</f>
        <v>#REF!</v>
      </c>
      <c r="O59" s="89"/>
      <c r="P59" s="89"/>
      <c r="Q59" s="90"/>
      <c r="R59" s="11" t="e">
        <f t="shared" si="1"/>
        <v>#REF!</v>
      </c>
    </row>
    <row r="60" spans="1:19" hidden="1">
      <c r="A60" s="40">
        <f>+Матер!A58</f>
        <v>0</v>
      </c>
      <c r="B60" s="85">
        <f>+Матер!B58</f>
        <v>0</v>
      </c>
      <c r="C60" s="86" t="e">
        <f>+Матер!#REF!</f>
        <v>#REF!</v>
      </c>
      <c r="D60" s="86"/>
      <c r="E60" s="89" t="e">
        <f>SUMIF(#REF!,$A60,#REF!)</f>
        <v>#REF!</v>
      </c>
      <c r="F60" s="89"/>
      <c r="G60" s="89" t="e">
        <f>SUMIF(#REF!,$A60,#REF!)</f>
        <v>#REF!</v>
      </c>
      <c r="H60" s="89">
        <f>SUMIF('Ф-2 596'!$I:$I,$A60,'Ф-2 596'!$K:$K)</f>
        <v>0</v>
      </c>
      <c r="I60" s="89" t="e">
        <f>SUMIF(#REF!,$A60,#REF!)</f>
        <v>#REF!</v>
      </c>
      <c r="J60" s="89" t="e">
        <f>SUMIF(#REF!,$A60,#REF!)</f>
        <v>#REF!</v>
      </c>
      <c r="K60" s="89">
        <f>SUMIF('Ф-1 583 '!$I:$I,$A60,'Ф-1 583 '!$K:$K)</f>
        <v>0</v>
      </c>
      <c r="L60" s="89" t="e">
        <f>SUMIF(#REF!,$A60,#REF!)</f>
        <v>#REF!</v>
      </c>
      <c r="M60" s="89"/>
      <c r="N60" s="89"/>
      <c r="O60" s="89"/>
      <c r="P60" s="89"/>
      <c r="Q60" s="90"/>
      <c r="R60" s="23" t="e">
        <f t="shared" si="1"/>
        <v>#REF!</v>
      </c>
    </row>
    <row r="61" spans="1:19">
      <c r="A61" s="84">
        <f>+Матер!A78</f>
        <v>0</v>
      </c>
      <c r="B61" s="85">
        <f>+Матер!B78</f>
        <v>0</v>
      </c>
      <c r="C61" s="86">
        <f>+Матер!C78</f>
        <v>0</v>
      </c>
    </row>
    <row r="62" spans="1:19">
      <c r="A62" s="84">
        <f>+Матер!A79</f>
        <v>0</v>
      </c>
      <c r="B62" s="85">
        <f>+Матер!B79</f>
        <v>0</v>
      </c>
      <c r="C62" s="86">
        <f>+Матер!C79</f>
        <v>0</v>
      </c>
    </row>
  </sheetData>
  <autoFilter ref="E3:R60">
    <filterColumn colId="13">
      <filters>
        <filter val="0,144"/>
        <filter val="0,219"/>
        <filter val="0,4"/>
        <filter val="0,75"/>
        <filter val="0,84"/>
        <filter val="1008"/>
        <filter val="11"/>
        <filter val="128"/>
        <filter val="14"/>
        <filter val="145"/>
        <filter val="150"/>
        <filter val="186"/>
        <filter val="192"/>
        <filter val="24"/>
        <filter val="3,33"/>
        <filter val="3,443275"/>
        <filter val="36"/>
        <filter val="5,82"/>
        <filter val="53"/>
        <filter val="68"/>
        <filter val="69"/>
        <filter val="75"/>
        <filter val="84"/>
        <filter val="93"/>
        <filter val="94"/>
      </filters>
    </filterColumn>
  </autoFilter>
  <pageMargins left="0.7" right="0.7" top="0.75" bottom="0.75" header="0.3" footer="0.3"/>
  <pageSetup paperSize="9" scale="6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B27"/>
  <sheetViews>
    <sheetView workbookViewId="0">
      <selection activeCell="I38" sqref="I38"/>
    </sheetView>
  </sheetViews>
  <sheetFormatPr defaultRowHeight="12.75"/>
  <cols>
    <col min="1" max="1" width="71.85546875" style="73" customWidth="1"/>
    <col min="2" max="2" width="14.5703125" bestFit="1" customWidth="1"/>
    <col min="3" max="3" width="13.85546875" customWidth="1"/>
  </cols>
  <sheetData>
    <row r="4" spans="1:2">
      <c r="B4" t="s">
        <v>106</v>
      </c>
    </row>
    <row r="5" spans="1:2">
      <c r="A5" s="100" t="e">
        <f>+#REF!</f>
        <v>#REF!</v>
      </c>
      <c r="B5" s="101" t="e">
        <f>+#REF!</f>
        <v>#REF!</v>
      </c>
    </row>
    <row r="6" spans="1:2">
      <c r="A6" s="82" t="e">
        <f>+#REF!</f>
        <v>#REF!</v>
      </c>
      <c r="B6" s="101" t="e">
        <f>+#REF!</f>
        <v>#REF!</v>
      </c>
    </row>
    <row r="7" spans="1:2">
      <c r="A7" s="82" t="str">
        <f>+'Ф-2 596'!F8</f>
        <v>"ВЛ-04кВ  от  КТП-596 на Степановку</v>
      </c>
      <c r="B7" s="101">
        <f>+'Ф-2 596'!T112</f>
        <v>0</v>
      </c>
    </row>
    <row r="8" spans="1:2">
      <c r="A8" s="82" t="e">
        <f>+#REF!</f>
        <v>#REF!</v>
      </c>
      <c r="B8" s="101" t="e">
        <f>+#REF!</f>
        <v>#REF!</v>
      </c>
    </row>
    <row r="9" spans="1:2">
      <c r="A9" s="82" t="e">
        <f>+#REF!</f>
        <v>#REF!</v>
      </c>
      <c r="B9" s="101" t="e">
        <f>+#REF!</f>
        <v>#REF!</v>
      </c>
    </row>
    <row r="10" spans="1:2" ht="25.5">
      <c r="A10" s="82" t="str">
        <f>+'Ф-1 583 '!F8</f>
        <v>"ВЛ-04кВ  от  КТП-582,583  на Тихонову Падь" (дисп. Наименование ВЛ-0,4кВ от КТП-583/160 фидер № 1)</v>
      </c>
      <c r="B10" s="101">
        <f>+'Ф-1 583 '!T117</f>
        <v>3</v>
      </c>
    </row>
    <row r="11" spans="1:2">
      <c r="A11" s="82" t="e">
        <f>+#REF!</f>
        <v>#REF!</v>
      </c>
      <c r="B11" s="101" t="e">
        <f>+#REF!</f>
        <v>#REF!</v>
      </c>
    </row>
    <row r="12" spans="1:2">
      <c r="A12" s="82" t="e">
        <f>+#REF!</f>
        <v>#REF!</v>
      </c>
      <c r="B12" s="101" t="e">
        <f>+#REF!</f>
        <v>#REF!</v>
      </c>
    </row>
    <row r="13" spans="1:2">
      <c r="A13" s="100" t="e">
        <f>+#REF!</f>
        <v>#REF!</v>
      </c>
      <c r="B13" s="101" t="e">
        <f>+#REF!</f>
        <v>#REF!</v>
      </c>
    </row>
    <row r="14" spans="1:2">
      <c r="A14" s="100"/>
      <c r="B14" s="101"/>
    </row>
    <row r="15" spans="1:2">
      <c r="A15" s="100"/>
      <c r="B15" s="101"/>
    </row>
    <row r="16" spans="1:2">
      <c r="A16" s="100"/>
      <c r="B16" s="101"/>
    </row>
    <row r="17" spans="1:2">
      <c r="A17" s="100"/>
      <c r="B17" s="101"/>
    </row>
    <row r="18" spans="1:2">
      <c r="A18" s="78"/>
      <c r="B18" s="99"/>
    </row>
    <row r="19" spans="1:2">
      <c r="A19" s="78"/>
      <c r="B19" s="99"/>
    </row>
    <row r="20" spans="1:2">
      <c r="A20" s="78"/>
      <c r="B20" s="99"/>
    </row>
    <row r="21" spans="1:2">
      <c r="A21" s="78"/>
      <c r="B21" s="99"/>
    </row>
    <row r="22" spans="1:2">
      <c r="A22" s="78"/>
      <c r="B22" s="99"/>
    </row>
    <row r="23" spans="1:2">
      <c r="A23" s="78"/>
      <c r="B23" s="99" t="e">
        <f>SUM(B5:B22)</f>
        <v>#REF!</v>
      </c>
    </row>
    <row r="24" spans="1:2">
      <c r="A24" s="78"/>
      <c r="B24" s="99"/>
    </row>
    <row r="25" spans="1:2">
      <c r="A25" s="78"/>
      <c r="B25" s="99"/>
    </row>
    <row r="26" spans="1:2">
      <c r="A26" s="78"/>
      <c r="B26" s="99"/>
    </row>
    <row r="27" spans="1:2">
      <c r="A27" s="78"/>
      <c r="B27" s="99"/>
    </row>
  </sheetData>
  <pageMargins left="0.11811023622047245" right="0.11811023622047245" top="0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activeCell="C25" sqref="C25"/>
    </sheetView>
  </sheetViews>
  <sheetFormatPr defaultRowHeight="12.75" outlineLevelRow="2"/>
  <cols>
    <col min="1" max="1" width="75.85546875" customWidth="1"/>
  </cols>
  <sheetData>
    <row r="1" spans="1:7" s="178" customFormat="1"/>
    <row r="2" spans="1:7" hidden="1" outlineLevel="2">
      <c r="A2" t="s">
        <v>261</v>
      </c>
      <c r="B2" t="s">
        <v>156</v>
      </c>
      <c r="C2">
        <v>21.436888079999996</v>
      </c>
    </row>
    <row r="3" spans="1:7" hidden="1" outlineLevel="2">
      <c r="A3" t="s">
        <v>261</v>
      </c>
      <c r="B3" t="s">
        <v>156</v>
      </c>
      <c r="C3">
        <v>35.703375600000008</v>
      </c>
    </row>
    <row r="4" spans="1:7" s="178" customFormat="1" outlineLevel="1" collapsed="1">
      <c r="A4" s="224" t="s">
        <v>263</v>
      </c>
      <c r="C4" s="227">
        <f>SUBTOTAL(9,C2:C3)</f>
        <v>57.140263680000004</v>
      </c>
      <c r="D4" s="178">
        <f>+C4-G4</f>
        <v>2.6368000000331904E-4</v>
      </c>
      <c r="E4" t="s">
        <v>325</v>
      </c>
      <c r="F4" t="s">
        <v>319</v>
      </c>
      <c r="G4">
        <v>57.14</v>
      </c>
    </row>
    <row r="5" spans="1:7" hidden="1" outlineLevel="2">
      <c r="A5" t="s">
        <v>262</v>
      </c>
      <c r="B5" t="s">
        <v>156</v>
      </c>
      <c r="C5">
        <v>5.0088000000000008</v>
      </c>
      <c r="D5" s="232">
        <f t="shared" ref="D5:D25" si="0">+C5-G5</f>
        <v>5.0088000000000008</v>
      </c>
    </row>
    <row r="6" spans="1:7" hidden="1" outlineLevel="2">
      <c r="A6" t="s">
        <v>262</v>
      </c>
      <c r="B6" t="s">
        <v>156</v>
      </c>
      <c r="C6">
        <v>8.4640000000000004</v>
      </c>
      <c r="D6" s="232">
        <f t="shared" si="0"/>
        <v>8.4640000000000004</v>
      </c>
    </row>
    <row r="7" spans="1:7" s="178" customFormat="1" outlineLevel="1" collapsed="1">
      <c r="A7" s="224" t="s">
        <v>264</v>
      </c>
      <c r="C7" s="228">
        <f>SUBTOTAL(9,C5:C6)</f>
        <v>13.472800000000001</v>
      </c>
      <c r="D7" s="232">
        <f t="shared" si="0"/>
        <v>-1.9999999999953388E-4</v>
      </c>
      <c r="E7" t="s">
        <v>327</v>
      </c>
      <c r="F7" t="s">
        <v>319</v>
      </c>
      <c r="G7">
        <v>13.473000000000001</v>
      </c>
    </row>
    <row r="8" spans="1:7" hidden="1" outlineLevel="2">
      <c r="A8" t="s">
        <v>147</v>
      </c>
      <c r="B8" t="s">
        <v>156</v>
      </c>
      <c r="C8">
        <v>21.24</v>
      </c>
      <c r="D8" s="232">
        <f t="shared" si="0"/>
        <v>21.24</v>
      </c>
    </row>
    <row r="9" spans="1:7" hidden="1" outlineLevel="2">
      <c r="A9" t="s">
        <v>147</v>
      </c>
      <c r="B9" t="s">
        <v>156</v>
      </c>
      <c r="C9">
        <v>35.4</v>
      </c>
      <c r="D9" s="232">
        <f t="shared" si="0"/>
        <v>35.4</v>
      </c>
    </row>
    <row r="10" spans="1:7" s="178" customFormat="1" outlineLevel="1" collapsed="1">
      <c r="A10" s="224" t="s">
        <v>265</v>
      </c>
      <c r="C10" s="178">
        <f>SUBTOTAL(9,C8:C9)</f>
        <v>56.64</v>
      </c>
      <c r="D10" s="232">
        <f t="shared" si="0"/>
        <v>0</v>
      </c>
      <c r="E10" t="s">
        <v>318</v>
      </c>
      <c r="F10" t="s">
        <v>319</v>
      </c>
      <c r="G10">
        <v>56.64</v>
      </c>
    </row>
    <row r="11" spans="1:7" hidden="1" outlineLevel="2">
      <c r="A11" t="s">
        <v>148</v>
      </c>
      <c r="B11" t="s">
        <v>156</v>
      </c>
      <c r="C11">
        <v>0.196888079999997</v>
      </c>
      <c r="D11" s="232">
        <f t="shared" si="0"/>
        <v>0.196888079999997</v>
      </c>
    </row>
    <row r="12" spans="1:7" hidden="1" outlineLevel="2">
      <c r="A12" t="s">
        <v>148</v>
      </c>
      <c r="B12" t="s">
        <v>156</v>
      </c>
      <c r="C12">
        <v>0.30337560000000668</v>
      </c>
      <c r="D12" s="232">
        <f t="shared" si="0"/>
        <v>0.30337560000000668</v>
      </c>
    </row>
    <row r="13" spans="1:7" s="178" customFormat="1" outlineLevel="1" collapsed="1">
      <c r="A13" s="224" t="s">
        <v>266</v>
      </c>
      <c r="C13" s="229">
        <f>SUBTOTAL(9,C11:C12)</f>
        <v>0.50026368000000365</v>
      </c>
      <c r="D13" s="223">
        <f t="shared" si="0"/>
        <v>2.636800000036521E-4</v>
      </c>
      <c r="E13" s="223" t="s">
        <v>320</v>
      </c>
      <c r="F13" s="223" t="s">
        <v>319</v>
      </c>
      <c r="G13" s="223">
        <v>0.5</v>
      </c>
    </row>
    <row r="14" spans="1:7" hidden="1" outlineLevel="2">
      <c r="A14" t="s">
        <v>154</v>
      </c>
      <c r="B14" t="s">
        <v>156</v>
      </c>
      <c r="C14">
        <v>4.9800000000000004</v>
      </c>
      <c r="D14" s="232">
        <f t="shared" si="0"/>
        <v>4.9800000000000004</v>
      </c>
    </row>
    <row r="15" spans="1:7" hidden="1" outlineLevel="2">
      <c r="A15" t="s">
        <v>154</v>
      </c>
      <c r="B15" t="s">
        <v>156</v>
      </c>
      <c r="C15">
        <v>8.4</v>
      </c>
      <c r="D15" s="232">
        <f t="shared" si="0"/>
        <v>8.4</v>
      </c>
    </row>
    <row r="16" spans="1:7" s="178" customFormat="1" outlineLevel="1" collapsed="1">
      <c r="A16" s="224" t="s">
        <v>267</v>
      </c>
      <c r="C16" s="178">
        <f>SUBTOTAL(9,C14:C15)</f>
        <v>13.38</v>
      </c>
      <c r="D16" s="232">
        <f t="shared" si="0"/>
        <v>0</v>
      </c>
      <c r="E16" t="s">
        <v>321</v>
      </c>
      <c r="F16" t="s">
        <v>319</v>
      </c>
      <c r="G16">
        <v>13.38</v>
      </c>
    </row>
    <row r="17" spans="1:7" hidden="1" outlineLevel="2">
      <c r="A17" t="s">
        <v>155</v>
      </c>
      <c r="B17" t="s">
        <v>156</v>
      </c>
      <c r="C17">
        <v>2.8800000000000183E-2</v>
      </c>
      <c r="D17" s="232">
        <f t="shared" si="0"/>
        <v>2.8800000000000183E-2</v>
      </c>
    </row>
    <row r="18" spans="1:7" hidden="1" outlineLevel="2">
      <c r="A18" t="s">
        <v>155</v>
      </c>
      <c r="B18" t="s">
        <v>156</v>
      </c>
      <c r="C18">
        <v>6.4000000000000001E-2</v>
      </c>
      <c r="D18" s="232">
        <f t="shared" si="0"/>
        <v>6.4000000000000001E-2</v>
      </c>
    </row>
    <row r="19" spans="1:7" s="178" customFormat="1" outlineLevel="1" collapsed="1">
      <c r="A19" s="224" t="s">
        <v>268</v>
      </c>
      <c r="C19" s="228">
        <f>SUBTOTAL(9,C17:C18)</f>
        <v>9.2800000000000188E-2</v>
      </c>
      <c r="D19" s="232">
        <f t="shared" si="0"/>
        <v>-1.9999999999981144E-4</v>
      </c>
      <c r="E19" t="s">
        <v>324</v>
      </c>
      <c r="F19" t="s">
        <v>319</v>
      </c>
      <c r="G19">
        <v>9.2999999999999999E-2</v>
      </c>
    </row>
    <row r="20" spans="1:7" hidden="1" outlineLevel="2">
      <c r="A20" t="s">
        <v>149</v>
      </c>
      <c r="B20" t="s">
        <v>156</v>
      </c>
      <c r="C20">
        <v>21.24</v>
      </c>
      <c r="D20" s="232">
        <f t="shared" si="0"/>
        <v>21.24</v>
      </c>
    </row>
    <row r="21" spans="1:7" hidden="1" outlineLevel="2">
      <c r="A21" t="s">
        <v>149</v>
      </c>
      <c r="B21" t="s">
        <v>156</v>
      </c>
      <c r="C21">
        <v>35.4</v>
      </c>
      <c r="D21" s="232">
        <f t="shared" si="0"/>
        <v>35.4</v>
      </c>
    </row>
    <row r="22" spans="1:7" s="178" customFormat="1" outlineLevel="1" collapsed="1">
      <c r="A22" s="224" t="s">
        <v>269</v>
      </c>
      <c r="C22" s="178">
        <f>SUBTOTAL(9,C20:C21)</f>
        <v>56.64</v>
      </c>
      <c r="D22" s="232">
        <f t="shared" si="0"/>
        <v>0</v>
      </c>
      <c r="E22" t="s">
        <v>322</v>
      </c>
      <c r="F22" t="s">
        <v>319</v>
      </c>
      <c r="G22">
        <v>56.64</v>
      </c>
    </row>
    <row r="23" spans="1:7" hidden="1" outlineLevel="2">
      <c r="A23" t="s">
        <v>150</v>
      </c>
      <c r="B23" t="s">
        <v>156</v>
      </c>
      <c r="C23">
        <v>0.196888079999997</v>
      </c>
      <c r="D23" s="232">
        <f t="shared" si="0"/>
        <v>0.196888079999997</v>
      </c>
    </row>
    <row r="24" spans="1:7" hidden="1" outlineLevel="2">
      <c r="A24" t="s">
        <v>150</v>
      </c>
      <c r="B24" t="s">
        <v>156</v>
      </c>
      <c r="C24">
        <v>0.30337560000000668</v>
      </c>
      <c r="D24" s="232">
        <f t="shared" si="0"/>
        <v>0.30337560000000668</v>
      </c>
    </row>
    <row r="25" spans="1:7" s="178" customFormat="1" outlineLevel="1" collapsed="1">
      <c r="A25" s="224" t="s">
        <v>270</v>
      </c>
      <c r="C25" s="227">
        <f>SUBTOTAL(9,C23:C24)</f>
        <v>0.50026368000000365</v>
      </c>
      <c r="D25" s="232">
        <f t="shared" si="0"/>
        <v>2.636800000036521E-4</v>
      </c>
      <c r="E25" t="s">
        <v>323</v>
      </c>
      <c r="F25" t="s">
        <v>319</v>
      </c>
      <c r="G25">
        <v>0.5</v>
      </c>
    </row>
    <row r="26" spans="1:7" s="178" customFormat="1">
      <c r="A26" s="224" t="s">
        <v>271</v>
      </c>
      <c r="C26" s="178">
        <f>SUBTOTAL(9,C2:C24)</f>
        <v>198.36639104000002</v>
      </c>
    </row>
    <row r="37" spans="1:3">
      <c r="A37" t="s">
        <v>326</v>
      </c>
      <c r="B37" t="s">
        <v>319</v>
      </c>
      <c r="C37">
        <v>57.14</v>
      </c>
    </row>
  </sheetData>
  <autoFilter ref="A1:K1">
    <sortState ref="A2:K17">
      <sortCondition ref="A1"/>
    </sortState>
  </autoFilter>
  <sortState ref="A1:C26">
    <sortCondition ref="C2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105"/>
  <sheetViews>
    <sheetView view="pageBreakPreview" zoomScale="90" zoomScaleNormal="100" zoomScaleSheetLayoutView="90" workbookViewId="0">
      <selection sqref="A1:XFD8"/>
    </sheetView>
  </sheetViews>
  <sheetFormatPr defaultRowHeight="12.75" outlineLevelRow="1"/>
  <cols>
    <col min="1" max="1" width="7.5703125" style="178" customWidth="1"/>
    <col min="2" max="2" width="30.140625" style="178" customWidth="1"/>
    <col min="3" max="3" width="7.5703125" style="178" customWidth="1"/>
    <col min="4" max="4" width="9.28515625" style="178" customWidth="1"/>
    <col min="5" max="5" width="30" style="178" customWidth="1"/>
    <col min="6" max="6" width="8.140625" style="178" bestFit="1" customWidth="1"/>
    <col min="7" max="7" width="11" style="178" bestFit="1" customWidth="1"/>
    <col min="8" max="8" width="11.140625" style="178" customWidth="1"/>
    <col min="9" max="9" width="60.28515625" style="178" customWidth="1"/>
    <col min="10" max="10" width="10.140625" style="178" customWidth="1"/>
    <col min="11" max="11" width="8.7109375" style="178" customWidth="1"/>
    <col min="12" max="12" width="13.42578125" style="178" customWidth="1"/>
    <col min="13" max="13" width="6.28515625" style="304" bestFit="1" customWidth="1"/>
    <col min="14" max="14" width="7" style="304" bestFit="1" customWidth="1"/>
    <col min="15" max="15" width="13.28515625" style="304" bestFit="1" customWidth="1"/>
    <col min="16" max="16" width="9.42578125" style="304" customWidth="1"/>
    <col min="17" max="17" width="10.42578125" style="304" customWidth="1"/>
    <col min="18" max="18" width="10.5703125" style="304" bestFit="1" customWidth="1"/>
    <col min="19" max="19" width="7.5703125" style="304" customWidth="1"/>
    <col min="20" max="20" width="6" style="304" bestFit="1" customWidth="1"/>
    <col min="21" max="21" width="6.5703125" style="304" customWidth="1"/>
    <col min="22" max="22" width="45.42578125" style="304" customWidth="1"/>
    <col min="23" max="23" width="10.42578125" style="304" bestFit="1" customWidth="1"/>
    <col min="24" max="24" width="9.28515625" style="304" bestFit="1" customWidth="1"/>
    <col min="25" max="25" width="59.28515625" style="304" customWidth="1"/>
    <col min="26" max="26" width="10.5703125" style="304" bestFit="1" customWidth="1"/>
    <col min="27" max="27" width="14" style="304" customWidth="1"/>
    <col min="28" max="30" width="10.5703125" style="304" bestFit="1" customWidth="1"/>
    <col min="31" max="16384" width="9.140625" style="178"/>
  </cols>
  <sheetData>
    <row r="1" spans="1:30" s="282" customFormat="1" ht="25.5" customHeight="1">
      <c r="B1" s="283"/>
      <c r="J1" s="291" t="s">
        <v>0</v>
      </c>
      <c r="K1" s="291"/>
      <c r="L1" s="291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302"/>
      <c r="Z1" s="302"/>
      <c r="AA1" s="302"/>
      <c r="AB1" s="302"/>
      <c r="AC1" s="302"/>
      <c r="AD1" s="302"/>
    </row>
    <row r="2" spans="1:30" s="282" customFormat="1" ht="30" customHeight="1">
      <c r="B2" s="285"/>
      <c r="E2" s="286"/>
      <c r="J2" s="291" t="s">
        <v>330</v>
      </c>
      <c r="K2" s="291"/>
      <c r="L2" s="291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3" t="s">
        <v>77</v>
      </c>
      <c r="Z2" s="302">
        <v>1591</v>
      </c>
      <c r="AA2" s="302"/>
      <c r="AB2" s="302"/>
      <c r="AC2" s="302"/>
      <c r="AD2" s="302"/>
    </row>
    <row r="3" spans="1:30" s="282" customFormat="1" ht="29.25" customHeight="1">
      <c r="B3" s="283"/>
      <c r="I3" s="290" t="s">
        <v>332</v>
      </c>
      <c r="J3" s="290"/>
      <c r="K3" s="290"/>
      <c r="L3" s="290"/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/>
      <c r="Y3" s="302"/>
      <c r="Z3" s="302"/>
      <c r="AA3" s="302"/>
      <c r="AB3" s="302"/>
      <c r="AC3" s="302"/>
      <c r="AD3" s="302"/>
    </row>
    <row r="4" spans="1:30" s="282" customFormat="1" ht="24" customHeight="1">
      <c r="B4" s="285"/>
      <c r="J4" s="287" t="s">
        <v>331</v>
      </c>
      <c r="K4" s="287"/>
      <c r="L4" s="284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2"/>
      <c r="AD4" s="302"/>
    </row>
    <row r="5" spans="1:30" s="282" customFormat="1" ht="15">
      <c r="B5" s="285"/>
      <c r="J5" s="287"/>
      <c r="K5" s="287"/>
      <c r="L5" s="284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</row>
    <row r="6" spans="1:30" s="282" customFormat="1" ht="15">
      <c r="B6" s="285"/>
      <c r="J6" s="287"/>
      <c r="K6" s="287"/>
      <c r="L6" s="284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</row>
    <row r="7" spans="1:30" ht="18">
      <c r="A7" s="288" t="s">
        <v>1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</row>
    <row r="8" spans="1:30" ht="18">
      <c r="A8" s="289" t="s">
        <v>17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</row>
    <row r="9" spans="1:30" ht="18.75" customHeight="1" thickBot="1">
      <c r="A9" s="292" t="s">
        <v>2</v>
      </c>
      <c r="B9" s="292"/>
      <c r="C9" s="292"/>
      <c r="D9" s="292"/>
      <c r="E9" s="292"/>
      <c r="F9" s="292"/>
      <c r="G9" s="292"/>
      <c r="H9" s="292"/>
      <c r="I9" s="292"/>
      <c r="J9" s="292"/>
      <c r="K9" s="292"/>
      <c r="L9" s="292"/>
    </row>
    <row r="10" spans="1:30" ht="18.75" thickBot="1">
      <c r="B10" s="44"/>
      <c r="C10" s="44"/>
      <c r="D10" s="44"/>
      <c r="E10" s="44"/>
      <c r="F10" s="44" t="s">
        <v>258</v>
      </c>
      <c r="G10" s="44"/>
      <c r="H10" s="44"/>
      <c r="I10" s="44"/>
      <c r="J10" s="95" t="s">
        <v>140</v>
      </c>
      <c r="K10" s="235">
        <v>6000200396</v>
      </c>
      <c r="L10" s="236"/>
      <c r="M10" s="305"/>
      <c r="N10" s="305"/>
      <c r="O10" s="305"/>
      <c r="P10" s="305"/>
      <c r="Q10" s="305"/>
      <c r="R10" s="305"/>
      <c r="S10" s="305"/>
      <c r="T10" s="305"/>
      <c r="U10" s="305"/>
      <c r="V10" s="305"/>
    </row>
    <row r="11" spans="1:30">
      <c r="A11" s="45" t="s">
        <v>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30" ht="25.5">
      <c r="A12" s="46" t="s">
        <v>4</v>
      </c>
      <c r="B12" s="46" t="s">
        <v>5</v>
      </c>
      <c r="C12" s="47" t="s">
        <v>6</v>
      </c>
      <c r="D12" s="48"/>
      <c r="E12" s="47" t="s">
        <v>7</v>
      </c>
      <c r="F12" s="49"/>
      <c r="G12" s="49"/>
      <c r="H12" s="48"/>
      <c r="I12" s="47" t="s">
        <v>8</v>
      </c>
      <c r="J12" s="49"/>
      <c r="K12" s="49"/>
      <c r="L12" s="49"/>
      <c r="M12" s="306"/>
      <c r="N12" s="306"/>
      <c r="O12" s="307" t="s">
        <v>162</v>
      </c>
      <c r="P12" s="307"/>
      <c r="Q12" s="307"/>
    </row>
    <row r="13" spans="1:30" ht="67.5">
      <c r="A13" s="50"/>
      <c r="B13" s="50"/>
      <c r="C13" s="5" t="s">
        <v>9</v>
      </c>
      <c r="D13" s="5" t="s">
        <v>10</v>
      </c>
      <c r="E13" s="5" t="s">
        <v>11</v>
      </c>
      <c r="F13" s="5" t="s">
        <v>9</v>
      </c>
      <c r="G13" s="5" t="s">
        <v>10</v>
      </c>
      <c r="H13" s="6" t="s">
        <v>12</v>
      </c>
      <c r="I13" s="5" t="s">
        <v>11</v>
      </c>
      <c r="J13" s="5" t="s">
        <v>9</v>
      </c>
      <c r="K13" s="5" t="s">
        <v>10</v>
      </c>
      <c r="L13" s="293" t="s">
        <v>13</v>
      </c>
      <c r="M13" s="308" t="s">
        <v>163</v>
      </c>
      <c r="N13" s="308"/>
      <c r="O13" s="309" t="s">
        <v>164</v>
      </c>
      <c r="P13" s="308" t="s">
        <v>165</v>
      </c>
      <c r="Q13" s="308"/>
      <c r="R13" s="308" t="s">
        <v>166</v>
      </c>
      <c r="S13" s="308"/>
      <c r="T13" s="308"/>
      <c r="U13" s="308"/>
      <c r="V13" s="309">
        <f>1000/30</f>
        <v>33.333333333333336</v>
      </c>
      <c r="W13" s="310"/>
      <c r="X13" s="310"/>
      <c r="Y13" s="310"/>
    </row>
    <row r="14" spans="1:30">
      <c r="A14" s="179">
        <v>1</v>
      </c>
      <c r="B14" s="179">
        <v>2</v>
      </c>
      <c r="C14" s="179">
        <v>3</v>
      </c>
      <c r="D14" s="179">
        <v>4</v>
      </c>
      <c r="E14" s="179">
        <v>5</v>
      </c>
      <c r="F14" s="179">
        <v>6</v>
      </c>
      <c r="G14" s="179">
        <v>7</v>
      </c>
      <c r="H14" s="179">
        <v>8</v>
      </c>
      <c r="I14" s="180">
        <v>9</v>
      </c>
      <c r="J14" s="180">
        <v>10</v>
      </c>
      <c r="K14" s="180">
        <v>11</v>
      </c>
      <c r="L14" s="294">
        <v>12</v>
      </c>
      <c r="M14" s="311" t="s">
        <v>167</v>
      </c>
      <c r="N14" s="311" t="s">
        <v>168</v>
      </c>
      <c r="O14" s="306"/>
      <c r="P14" s="306" t="s">
        <v>167</v>
      </c>
      <c r="Q14" s="306" t="s">
        <v>168</v>
      </c>
      <c r="R14" s="312">
        <v>1</v>
      </c>
      <c r="S14" s="312">
        <v>2</v>
      </c>
      <c r="T14" s="312">
        <v>3</v>
      </c>
      <c r="U14" s="312">
        <v>4</v>
      </c>
      <c r="V14" s="312"/>
      <c r="X14" s="313"/>
      <c r="Y14" s="313"/>
    </row>
    <row r="15" spans="1:30">
      <c r="A15" s="246">
        <v>1</v>
      </c>
      <c r="B15" s="248" t="s">
        <v>251</v>
      </c>
      <c r="C15" s="246" t="s">
        <v>250</v>
      </c>
      <c r="D15" s="246">
        <v>20</v>
      </c>
      <c r="E15" s="196" t="s">
        <v>252</v>
      </c>
      <c r="F15" s="195" t="s">
        <v>14</v>
      </c>
      <c r="G15" s="195">
        <f>D15*0.03*4</f>
        <v>2.4</v>
      </c>
      <c r="H15" s="217" t="s">
        <v>228</v>
      </c>
      <c r="I15" s="195" t="s">
        <v>215</v>
      </c>
      <c r="J15" s="195" t="s">
        <v>215</v>
      </c>
      <c r="K15" s="195" t="s">
        <v>215</v>
      </c>
      <c r="L15" s="181" t="s">
        <v>215</v>
      </c>
      <c r="M15" s="306"/>
      <c r="N15" s="306"/>
      <c r="O15" s="306"/>
      <c r="V15" s="312">
        <f>411/18</f>
        <v>22.833333333333332</v>
      </c>
      <c r="X15" s="313"/>
      <c r="Y15" s="313"/>
    </row>
    <row r="16" spans="1:30" ht="38.25" customHeight="1">
      <c r="A16" s="247"/>
      <c r="B16" s="249"/>
      <c r="C16" s="247"/>
      <c r="D16" s="247"/>
      <c r="E16" s="196" t="s">
        <v>19</v>
      </c>
      <c r="F16" s="195" t="s">
        <v>15</v>
      </c>
      <c r="G16" s="195">
        <v>80</v>
      </c>
      <c r="H16" s="217" t="s">
        <v>228</v>
      </c>
      <c r="I16" s="195"/>
      <c r="J16" s="195"/>
      <c r="K16" s="195"/>
      <c r="L16" s="181"/>
      <c r="M16" s="306"/>
      <c r="N16" s="306"/>
      <c r="O16" s="306"/>
      <c r="V16" s="312"/>
      <c r="X16" s="313"/>
      <c r="Y16" s="313"/>
    </row>
    <row r="17" spans="1:30">
      <c r="A17" s="242">
        <v>2</v>
      </c>
      <c r="B17" s="244" t="s">
        <v>143</v>
      </c>
      <c r="C17" s="242" t="s">
        <v>15</v>
      </c>
      <c r="D17" s="242">
        <v>10</v>
      </c>
      <c r="E17" s="166" t="s">
        <v>18</v>
      </c>
      <c r="F17" s="182" t="s">
        <v>144</v>
      </c>
      <c r="G17" s="182">
        <f>D17*(0.5+0.4)</f>
        <v>9</v>
      </c>
      <c r="H17" s="182" t="s">
        <v>32</v>
      </c>
      <c r="I17" s="141"/>
      <c r="J17" s="182"/>
      <c r="K17" s="182"/>
      <c r="L17" s="295"/>
      <c r="M17" s="313">
        <v>1</v>
      </c>
      <c r="N17" s="313"/>
      <c r="O17" s="313">
        <v>600</v>
      </c>
      <c r="P17" s="313">
        <f t="shared" ref="P17:P20" si="0">O17*G17</f>
        <v>5400</v>
      </c>
      <c r="Q17" s="313"/>
      <c r="R17" s="313"/>
      <c r="S17" s="313"/>
      <c r="T17" s="313"/>
      <c r="U17" s="313"/>
      <c r="V17" s="312">
        <f>411/18</f>
        <v>22.833333333333332</v>
      </c>
      <c r="X17" s="313"/>
      <c r="Y17" s="313"/>
    </row>
    <row r="18" spans="1:30" ht="50.25" customHeight="1">
      <c r="A18" s="243"/>
      <c r="B18" s="245"/>
      <c r="C18" s="243"/>
      <c r="D18" s="243"/>
      <c r="E18" s="166" t="s">
        <v>28</v>
      </c>
      <c r="F18" s="182" t="s">
        <v>15</v>
      </c>
      <c r="G18" s="182">
        <v>40</v>
      </c>
      <c r="H18" s="182" t="s">
        <v>33</v>
      </c>
      <c r="I18" s="182"/>
      <c r="J18" s="182"/>
      <c r="K18" s="182"/>
      <c r="L18" s="295"/>
      <c r="M18" s="313">
        <v>1</v>
      </c>
      <c r="N18" s="313"/>
      <c r="O18" s="313">
        <v>0.8</v>
      </c>
      <c r="P18" s="313">
        <f t="shared" si="0"/>
        <v>32</v>
      </c>
      <c r="Q18" s="313"/>
      <c r="R18" s="313"/>
      <c r="S18" s="313"/>
      <c r="T18" s="313"/>
      <c r="U18" s="313"/>
      <c r="V18" s="312"/>
      <c r="X18" s="313"/>
      <c r="Y18" s="313"/>
    </row>
    <row r="19" spans="1:30">
      <c r="A19" s="242">
        <v>3</v>
      </c>
      <c r="B19" s="244" t="s">
        <v>246</v>
      </c>
      <c r="C19" s="242" t="s">
        <v>15</v>
      </c>
      <c r="D19" s="242">
        <v>10</v>
      </c>
      <c r="E19" s="166" t="s">
        <v>18</v>
      </c>
      <c r="F19" s="204" t="s">
        <v>144</v>
      </c>
      <c r="G19" s="204">
        <f>D19*0.5</f>
        <v>5</v>
      </c>
      <c r="H19" s="182" t="s">
        <v>32</v>
      </c>
      <c r="I19" s="141"/>
      <c r="J19" s="182"/>
      <c r="K19" s="182"/>
      <c r="L19" s="295"/>
      <c r="M19" s="313">
        <v>1</v>
      </c>
      <c r="N19" s="313"/>
      <c r="O19" s="313">
        <v>600</v>
      </c>
      <c r="P19" s="313">
        <f t="shared" si="0"/>
        <v>3000</v>
      </c>
      <c r="Q19" s="313"/>
      <c r="R19" s="313"/>
      <c r="S19" s="313"/>
      <c r="T19" s="313"/>
      <c r="U19" s="313"/>
      <c r="V19" s="312"/>
      <c r="X19" s="313"/>
      <c r="Y19" s="313"/>
    </row>
    <row r="20" spans="1:30" ht="33.75" customHeight="1">
      <c r="A20" s="250"/>
      <c r="B20" s="251"/>
      <c r="C20" s="250"/>
      <c r="D20" s="250"/>
      <c r="E20" s="166" t="s">
        <v>28</v>
      </c>
      <c r="F20" s="182" t="s">
        <v>15</v>
      </c>
      <c r="G20" s="182">
        <v>40</v>
      </c>
      <c r="H20" s="182" t="s">
        <v>33</v>
      </c>
      <c r="I20" s="141"/>
      <c r="J20" s="182"/>
      <c r="K20" s="182"/>
      <c r="L20" s="295"/>
      <c r="M20" s="313">
        <v>1</v>
      </c>
      <c r="N20" s="313"/>
      <c r="O20" s="313">
        <v>0.8</v>
      </c>
      <c r="P20" s="313">
        <f t="shared" si="0"/>
        <v>32</v>
      </c>
      <c r="Q20" s="313"/>
      <c r="R20" s="313"/>
      <c r="S20" s="313"/>
      <c r="T20" s="313"/>
      <c r="U20" s="313"/>
      <c r="V20" s="312">
        <f>411/18</f>
        <v>22.833333333333332</v>
      </c>
      <c r="X20" s="313"/>
      <c r="Y20" s="313"/>
    </row>
    <row r="21" spans="1:30" ht="38.25">
      <c r="A21" s="193">
        <v>4</v>
      </c>
      <c r="B21" s="185" t="s">
        <v>235</v>
      </c>
      <c r="C21" s="194" t="s">
        <v>236</v>
      </c>
      <c r="D21" s="201">
        <f>D35*7.4+D28*4.7+D22*2</f>
        <v>67</v>
      </c>
      <c r="E21" s="185"/>
      <c r="F21" s="193"/>
      <c r="G21" s="193"/>
      <c r="H21" s="193"/>
      <c r="I21" s="202" t="s">
        <v>92</v>
      </c>
      <c r="J21" s="191" t="str">
        <f>IF(ISNA(VLOOKUP(I21,[1]Матер!$A$2:$C$85,2,0)),0,VLOOKUP(I21,[1]Матер!$A$2:$C$85,2,0))</f>
        <v>кг</v>
      </c>
      <c r="K21" s="192">
        <f>D21*1</f>
        <v>67</v>
      </c>
      <c r="L21" s="296" t="s">
        <v>142</v>
      </c>
      <c r="M21" s="313"/>
      <c r="N21" s="306">
        <v>3</v>
      </c>
      <c r="O21" s="306">
        <v>1</v>
      </c>
      <c r="P21" s="313"/>
      <c r="Q21" s="304">
        <f t="shared" ref="Q21" si="1">O21*K21</f>
        <v>67</v>
      </c>
      <c r="R21" s="313">
        <f t="shared" ref="R21:R55" si="2">IF(N21=$R$14,Q21,0)</f>
        <v>0</v>
      </c>
      <c r="S21" s="313">
        <f t="shared" ref="S21:S55" si="3">IF(N21=$S$14,Q21,0)</f>
        <v>0</v>
      </c>
      <c r="T21" s="313">
        <f t="shared" ref="T21:T55" si="4">IF(N21=$T$14,Q21,0)</f>
        <v>67</v>
      </c>
      <c r="U21" s="313">
        <f t="shared" ref="U21:U55" si="5">IF(N21=$U$14,Q21,0)</f>
        <v>0</v>
      </c>
      <c r="V21" s="312"/>
      <c r="X21" s="313"/>
      <c r="Y21" s="313"/>
    </row>
    <row r="22" spans="1:30" ht="14.25" customHeight="1">
      <c r="A22" s="246">
        <v>5</v>
      </c>
      <c r="B22" s="253" t="s">
        <v>233</v>
      </c>
      <c r="C22" s="246" t="s">
        <v>214</v>
      </c>
      <c r="D22" s="246">
        <v>10</v>
      </c>
      <c r="E22" s="195" t="s">
        <v>215</v>
      </c>
      <c r="F22" s="195" t="s">
        <v>215</v>
      </c>
      <c r="G22" s="195" t="s">
        <v>215</v>
      </c>
      <c r="H22" s="195" t="s">
        <v>215</v>
      </c>
      <c r="I22" s="186" t="s">
        <v>216</v>
      </c>
      <c r="J22" s="187" t="s">
        <v>217</v>
      </c>
      <c r="K22" s="187">
        <f>D22*1</f>
        <v>10</v>
      </c>
      <c r="L22" s="296" t="s">
        <v>142</v>
      </c>
      <c r="M22" s="306"/>
      <c r="N22" s="306">
        <v>1</v>
      </c>
      <c r="O22" s="306">
        <v>1180</v>
      </c>
      <c r="Q22" s="304">
        <f>O22*K22</f>
        <v>11800</v>
      </c>
      <c r="R22" s="313">
        <f t="shared" si="2"/>
        <v>11800</v>
      </c>
      <c r="S22" s="313">
        <f t="shared" si="3"/>
        <v>0</v>
      </c>
      <c r="T22" s="313">
        <f t="shared" si="4"/>
        <v>0</v>
      </c>
      <c r="U22" s="313">
        <f t="shared" si="5"/>
        <v>0</v>
      </c>
      <c r="V22" s="312"/>
      <c r="X22" s="313"/>
      <c r="Y22" s="313"/>
    </row>
    <row r="23" spans="1:30">
      <c r="A23" s="247"/>
      <c r="B23" s="254"/>
      <c r="C23" s="247"/>
      <c r="D23" s="247"/>
      <c r="E23" s="197" t="s">
        <v>215</v>
      </c>
      <c r="F23" s="197" t="s">
        <v>215</v>
      </c>
      <c r="G23" s="197" t="s">
        <v>215</v>
      </c>
      <c r="H23" s="197" t="s">
        <v>215</v>
      </c>
      <c r="I23" s="186" t="s">
        <v>219</v>
      </c>
      <c r="J23" s="187" t="s">
        <v>217</v>
      </c>
      <c r="K23" s="187">
        <f>D22*2</f>
        <v>20</v>
      </c>
      <c r="L23" s="297" t="s">
        <v>142</v>
      </c>
      <c r="M23" s="306"/>
      <c r="N23" s="306">
        <v>1</v>
      </c>
      <c r="O23" s="306">
        <v>2.7</v>
      </c>
      <c r="Q23" s="304">
        <f t="shared" ref="Q23:Q55" si="6">O23*K23</f>
        <v>54</v>
      </c>
      <c r="R23" s="313">
        <f t="shared" si="2"/>
        <v>54</v>
      </c>
      <c r="S23" s="313">
        <f t="shared" si="3"/>
        <v>0</v>
      </c>
      <c r="T23" s="313">
        <f t="shared" si="4"/>
        <v>0</v>
      </c>
      <c r="U23" s="313">
        <f t="shared" si="5"/>
        <v>0</v>
      </c>
      <c r="V23" s="312">
        <f>411/18</f>
        <v>22.833333333333332</v>
      </c>
      <c r="X23" s="313"/>
      <c r="Y23" s="313"/>
    </row>
    <row r="24" spans="1:30" ht="14.25" customHeight="1">
      <c r="A24" s="247"/>
      <c r="B24" s="254"/>
      <c r="C24" s="247"/>
      <c r="D24" s="247"/>
      <c r="E24" s="197" t="s">
        <v>215</v>
      </c>
      <c r="F24" s="197" t="s">
        <v>215</v>
      </c>
      <c r="G24" s="197" t="s">
        <v>215</v>
      </c>
      <c r="H24" s="197" t="s">
        <v>215</v>
      </c>
      <c r="I24" s="186" t="s">
        <v>237</v>
      </c>
      <c r="J24" s="187" t="s">
        <v>217</v>
      </c>
      <c r="K24" s="187">
        <f>D22*2</f>
        <v>20</v>
      </c>
      <c r="L24" s="297" t="s">
        <v>142</v>
      </c>
      <c r="M24" s="306"/>
      <c r="N24" s="306">
        <v>1</v>
      </c>
      <c r="O24" s="306">
        <v>1.2</v>
      </c>
      <c r="Q24" s="304">
        <f t="shared" si="6"/>
        <v>24</v>
      </c>
      <c r="R24" s="313">
        <f t="shared" si="2"/>
        <v>24</v>
      </c>
      <c r="S24" s="313">
        <f t="shared" si="3"/>
        <v>0</v>
      </c>
      <c r="T24" s="313">
        <f t="shared" si="4"/>
        <v>0</v>
      </c>
      <c r="U24" s="313">
        <f t="shared" si="5"/>
        <v>0</v>
      </c>
      <c r="V24" s="312"/>
      <c r="X24" s="313"/>
      <c r="Y24" s="313"/>
    </row>
    <row r="25" spans="1:30" s="176" customFormat="1">
      <c r="A25" s="247"/>
      <c r="B25" s="254"/>
      <c r="C25" s="247"/>
      <c r="D25" s="247"/>
      <c r="E25" s="197" t="s">
        <v>215</v>
      </c>
      <c r="F25" s="197" t="s">
        <v>215</v>
      </c>
      <c r="G25" s="197" t="s">
        <v>215</v>
      </c>
      <c r="H25" s="197" t="s">
        <v>215</v>
      </c>
      <c r="I25" s="186" t="s">
        <v>222</v>
      </c>
      <c r="J25" s="187" t="s">
        <v>217</v>
      </c>
      <c r="K25" s="187">
        <f>D22*1</f>
        <v>10</v>
      </c>
      <c r="L25" s="297" t="s">
        <v>142</v>
      </c>
      <c r="M25" s="306"/>
      <c r="N25" s="306">
        <v>1</v>
      </c>
      <c r="O25" s="306">
        <v>0.25</v>
      </c>
      <c r="P25" s="304"/>
      <c r="Q25" s="304">
        <f t="shared" si="6"/>
        <v>2.5</v>
      </c>
      <c r="R25" s="313">
        <f t="shared" si="2"/>
        <v>2.5</v>
      </c>
      <c r="S25" s="313">
        <f t="shared" si="3"/>
        <v>0</v>
      </c>
      <c r="T25" s="313">
        <f t="shared" si="4"/>
        <v>0</v>
      </c>
      <c r="U25" s="313">
        <f t="shared" si="5"/>
        <v>0</v>
      </c>
      <c r="V25" s="312"/>
      <c r="W25" s="304"/>
      <c r="X25" s="304"/>
      <c r="Y25" s="313"/>
      <c r="Z25" s="304"/>
      <c r="AA25" s="304"/>
      <c r="AB25" s="304"/>
      <c r="AC25" s="304"/>
      <c r="AD25" s="304"/>
    </row>
    <row r="26" spans="1:30" s="176" customFormat="1">
      <c r="A26" s="247"/>
      <c r="B26" s="254"/>
      <c r="C26" s="247"/>
      <c r="D26" s="247"/>
      <c r="E26" s="216"/>
      <c r="F26" s="216"/>
      <c r="G26" s="216"/>
      <c r="H26" s="216"/>
      <c r="I26" s="218" t="s">
        <v>259</v>
      </c>
      <c r="J26" s="219" t="s">
        <v>217</v>
      </c>
      <c r="K26" s="219">
        <f>K23*2</f>
        <v>40</v>
      </c>
      <c r="L26" s="298" t="s">
        <v>142</v>
      </c>
      <c r="M26" s="306"/>
      <c r="N26" s="306"/>
      <c r="O26" s="306"/>
      <c r="P26" s="304"/>
      <c r="Q26" s="304"/>
      <c r="R26" s="313"/>
      <c r="S26" s="313"/>
      <c r="T26" s="313"/>
      <c r="U26" s="313"/>
      <c r="V26" s="312"/>
      <c r="W26" s="304"/>
      <c r="X26" s="304"/>
      <c r="Y26" s="313"/>
      <c r="Z26" s="304"/>
      <c r="AA26" s="304"/>
      <c r="AB26" s="304"/>
      <c r="AC26" s="304"/>
      <c r="AD26" s="304"/>
    </row>
    <row r="27" spans="1:30" s="176" customFormat="1">
      <c r="A27" s="247"/>
      <c r="B27" s="254"/>
      <c r="C27" s="247"/>
      <c r="D27" s="247"/>
      <c r="E27" s="197" t="s">
        <v>215</v>
      </c>
      <c r="F27" s="197" t="s">
        <v>215</v>
      </c>
      <c r="G27" s="197" t="s">
        <v>215</v>
      </c>
      <c r="H27" s="197" t="s">
        <v>215</v>
      </c>
      <c r="I27" s="183" t="s">
        <v>174</v>
      </c>
      <c r="J27" s="184" t="s">
        <v>16</v>
      </c>
      <c r="K27" s="184">
        <f>D22*0.4</f>
        <v>4</v>
      </c>
      <c r="L27" s="297" t="s">
        <v>142</v>
      </c>
      <c r="M27" s="306"/>
      <c r="N27" s="306">
        <v>1</v>
      </c>
      <c r="O27" s="306">
        <v>1</v>
      </c>
      <c r="P27" s="304"/>
      <c r="Q27" s="304">
        <f t="shared" si="6"/>
        <v>4</v>
      </c>
      <c r="R27" s="313">
        <f t="shared" si="2"/>
        <v>4</v>
      </c>
      <c r="S27" s="313">
        <f t="shared" si="3"/>
        <v>0</v>
      </c>
      <c r="T27" s="313">
        <f t="shared" si="4"/>
        <v>0</v>
      </c>
      <c r="U27" s="313">
        <f t="shared" si="5"/>
        <v>0</v>
      </c>
      <c r="V27" s="312"/>
      <c r="W27" s="304"/>
      <c r="X27" s="304"/>
      <c r="Y27" s="313"/>
      <c r="Z27" s="304"/>
      <c r="AA27" s="304"/>
      <c r="AB27" s="304"/>
      <c r="AC27" s="304"/>
      <c r="AD27" s="304"/>
    </row>
    <row r="28" spans="1:30" s="176" customFormat="1">
      <c r="A28" s="246">
        <v>6</v>
      </c>
      <c r="B28" s="253" t="s">
        <v>234</v>
      </c>
      <c r="C28" s="246" t="s">
        <v>214</v>
      </c>
      <c r="D28" s="246">
        <v>10</v>
      </c>
      <c r="E28" s="195" t="s">
        <v>215</v>
      </c>
      <c r="F28" s="195" t="s">
        <v>215</v>
      </c>
      <c r="G28" s="195" t="s">
        <v>215</v>
      </c>
      <c r="H28" s="195" t="s">
        <v>215</v>
      </c>
      <c r="I28" s="186" t="s">
        <v>216</v>
      </c>
      <c r="J28" s="187" t="s">
        <v>217</v>
      </c>
      <c r="K28" s="187">
        <f>D28*2</f>
        <v>20</v>
      </c>
      <c r="L28" s="296" t="s">
        <v>142</v>
      </c>
      <c r="M28" s="306"/>
      <c r="N28" s="306">
        <v>1</v>
      </c>
      <c r="O28" s="306">
        <v>1180</v>
      </c>
      <c r="P28" s="304"/>
      <c r="Q28" s="304">
        <f t="shared" si="6"/>
        <v>23600</v>
      </c>
      <c r="R28" s="313">
        <f t="shared" si="2"/>
        <v>23600</v>
      </c>
      <c r="S28" s="313">
        <f t="shared" si="3"/>
        <v>0</v>
      </c>
      <c r="T28" s="313">
        <f t="shared" si="4"/>
        <v>0</v>
      </c>
      <c r="U28" s="313">
        <f t="shared" si="5"/>
        <v>0</v>
      </c>
      <c r="V28" s="312"/>
      <c r="W28" s="304"/>
      <c r="X28" s="304"/>
      <c r="Y28" s="313"/>
      <c r="Z28" s="304"/>
      <c r="AA28" s="304"/>
      <c r="AB28" s="304"/>
      <c r="AC28" s="304"/>
      <c r="AD28" s="304"/>
    </row>
    <row r="29" spans="1:30" s="176" customFormat="1">
      <c r="A29" s="247"/>
      <c r="B29" s="254"/>
      <c r="C29" s="247"/>
      <c r="D29" s="247"/>
      <c r="E29" s="197" t="s">
        <v>215</v>
      </c>
      <c r="F29" s="197" t="s">
        <v>215</v>
      </c>
      <c r="G29" s="197" t="s">
        <v>215</v>
      </c>
      <c r="H29" s="197" t="s">
        <v>215</v>
      </c>
      <c r="I29" s="186" t="s">
        <v>219</v>
      </c>
      <c r="J29" s="187" t="s">
        <v>217</v>
      </c>
      <c r="K29" s="187">
        <f>D28*2</f>
        <v>20</v>
      </c>
      <c r="L29" s="297" t="s">
        <v>142</v>
      </c>
      <c r="M29" s="306"/>
      <c r="N29" s="306">
        <v>1</v>
      </c>
      <c r="O29" s="306">
        <v>2.7</v>
      </c>
      <c r="P29" s="304"/>
      <c r="Q29" s="304">
        <f t="shared" si="6"/>
        <v>54</v>
      </c>
      <c r="R29" s="313">
        <f t="shared" si="2"/>
        <v>54</v>
      </c>
      <c r="S29" s="313">
        <f t="shared" si="3"/>
        <v>0</v>
      </c>
      <c r="T29" s="313">
        <f t="shared" si="4"/>
        <v>0</v>
      </c>
      <c r="U29" s="313">
        <f t="shared" si="5"/>
        <v>0</v>
      </c>
      <c r="V29" s="304"/>
      <c r="W29" s="304"/>
      <c r="X29" s="304"/>
      <c r="Y29" s="313"/>
      <c r="Z29" s="304"/>
      <c r="AA29" s="304"/>
      <c r="AB29" s="304"/>
      <c r="AC29" s="304"/>
      <c r="AD29" s="304"/>
    </row>
    <row r="30" spans="1:30" s="174" customFormat="1" ht="12.75" customHeight="1">
      <c r="A30" s="247"/>
      <c r="B30" s="254"/>
      <c r="C30" s="247"/>
      <c r="D30" s="247"/>
      <c r="E30" s="197" t="s">
        <v>215</v>
      </c>
      <c r="F30" s="197" t="s">
        <v>215</v>
      </c>
      <c r="G30" s="197" t="s">
        <v>215</v>
      </c>
      <c r="H30" s="197" t="s">
        <v>215</v>
      </c>
      <c r="I30" s="186" t="s">
        <v>220</v>
      </c>
      <c r="J30" s="187" t="s">
        <v>217</v>
      </c>
      <c r="K30" s="187">
        <f>D28*2</f>
        <v>20</v>
      </c>
      <c r="L30" s="297" t="s">
        <v>142</v>
      </c>
      <c r="M30" s="306"/>
      <c r="N30" s="306">
        <v>1</v>
      </c>
      <c r="O30" s="306">
        <v>1.3</v>
      </c>
      <c r="P30" s="304"/>
      <c r="Q30" s="304">
        <f t="shared" si="6"/>
        <v>26</v>
      </c>
      <c r="R30" s="313">
        <f t="shared" si="2"/>
        <v>26</v>
      </c>
      <c r="S30" s="313">
        <f t="shared" si="3"/>
        <v>0</v>
      </c>
      <c r="T30" s="313">
        <f t="shared" si="4"/>
        <v>0</v>
      </c>
      <c r="U30" s="313">
        <f t="shared" si="5"/>
        <v>0</v>
      </c>
      <c r="V30" s="304"/>
      <c r="W30" s="304"/>
      <c r="X30" s="304"/>
      <c r="Y30" s="304"/>
      <c r="Z30" s="304"/>
      <c r="AA30" s="304"/>
      <c r="AB30" s="304"/>
      <c r="AC30" s="304"/>
      <c r="AD30" s="304"/>
    </row>
    <row r="31" spans="1:30" s="174" customFormat="1">
      <c r="A31" s="247"/>
      <c r="B31" s="254"/>
      <c r="C31" s="247"/>
      <c r="D31" s="247"/>
      <c r="E31" s="197" t="s">
        <v>215</v>
      </c>
      <c r="F31" s="197" t="s">
        <v>215</v>
      </c>
      <c r="G31" s="197" t="s">
        <v>215</v>
      </c>
      <c r="H31" s="197" t="s">
        <v>215</v>
      </c>
      <c r="I31" s="186" t="s">
        <v>169</v>
      </c>
      <c r="J31" s="187" t="s">
        <v>217</v>
      </c>
      <c r="K31" s="187">
        <f>D28</f>
        <v>10</v>
      </c>
      <c r="L31" s="297" t="s">
        <v>142</v>
      </c>
      <c r="M31" s="306"/>
      <c r="N31" s="306">
        <v>1</v>
      </c>
      <c r="O31" s="306">
        <v>10.4</v>
      </c>
      <c r="P31" s="304"/>
      <c r="Q31" s="304">
        <f t="shared" si="6"/>
        <v>104</v>
      </c>
      <c r="R31" s="313">
        <f t="shared" si="2"/>
        <v>104</v>
      </c>
      <c r="S31" s="313">
        <f t="shared" si="3"/>
        <v>0</v>
      </c>
      <c r="T31" s="313">
        <f t="shared" si="4"/>
        <v>0</v>
      </c>
      <c r="U31" s="313">
        <f t="shared" si="5"/>
        <v>0</v>
      </c>
      <c r="V31" s="304"/>
      <c r="W31" s="304"/>
      <c r="X31" s="304"/>
      <c r="Y31" s="304"/>
      <c r="Z31" s="304"/>
      <c r="AA31" s="304"/>
      <c r="AB31" s="304"/>
      <c r="AC31" s="304"/>
      <c r="AD31" s="304"/>
    </row>
    <row r="32" spans="1:30" s="174" customFormat="1">
      <c r="A32" s="247"/>
      <c r="B32" s="254"/>
      <c r="C32" s="247"/>
      <c r="D32" s="247"/>
      <c r="E32" s="197" t="s">
        <v>215</v>
      </c>
      <c r="F32" s="197" t="s">
        <v>215</v>
      </c>
      <c r="G32" s="197" t="s">
        <v>215</v>
      </c>
      <c r="H32" s="197" t="s">
        <v>215</v>
      </c>
      <c r="I32" s="186" t="s">
        <v>222</v>
      </c>
      <c r="J32" s="187" t="s">
        <v>217</v>
      </c>
      <c r="K32" s="187">
        <f>D28*1</f>
        <v>10</v>
      </c>
      <c r="L32" s="297" t="s">
        <v>142</v>
      </c>
      <c r="M32" s="306"/>
      <c r="N32" s="306">
        <v>1</v>
      </c>
      <c r="O32" s="306">
        <v>0.25</v>
      </c>
      <c r="P32" s="304"/>
      <c r="Q32" s="304">
        <f t="shared" si="6"/>
        <v>2.5</v>
      </c>
      <c r="R32" s="313">
        <f t="shared" si="2"/>
        <v>2.5</v>
      </c>
      <c r="S32" s="313">
        <f t="shared" si="3"/>
        <v>0</v>
      </c>
      <c r="T32" s="313">
        <f t="shared" si="4"/>
        <v>0</v>
      </c>
      <c r="U32" s="313">
        <f t="shared" si="5"/>
        <v>0</v>
      </c>
      <c r="V32" s="304"/>
      <c r="W32" s="304"/>
      <c r="X32" s="304"/>
      <c r="Y32" s="304"/>
      <c r="Z32" s="304"/>
      <c r="AA32" s="304"/>
      <c r="AB32" s="304"/>
      <c r="AC32" s="304"/>
      <c r="AD32" s="304"/>
    </row>
    <row r="33" spans="1:30" s="174" customFormat="1">
      <c r="A33" s="247"/>
      <c r="B33" s="254"/>
      <c r="C33" s="247"/>
      <c r="D33" s="247"/>
      <c r="E33" s="216"/>
      <c r="F33" s="216"/>
      <c r="G33" s="216"/>
      <c r="H33" s="216"/>
      <c r="I33" s="218" t="s">
        <v>259</v>
      </c>
      <c r="J33" s="219" t="s">
        <v>217</v>
      </c>
      <c r="K33" s="219">
        <f>K29*2</f>
        <v>40</v>
      </c>
      <c r="L33" s="298" t="s">
        <v>142</v>
      </c>
      <c r="M33" s="306"/>
      <c r="N33" s="306"/>
      <c r="O33" s="306"/>
      <c r="P33" s="304"/>
      <c r="Q33" s="304"/>
      <c r="R33" s="313"/>
      <c r="S33" s="313"/>
      <c r="T33" s="313"/>
      <c r="U33" s="313"/>
      <c r="V33" s="304"/>
      <c r="W33" s="304"/>
      <c r="X33" s="304"/>
      <c r="Y33" s="304"/>
      <c r="Z33" s="304"/>
      <c r="AA33" s="304"/>
      <c r="AB33" s="304"/>
      <c r="AC33" s="304"/>
      <c r="AD33" s="304"/>
    </row>
    <row r="34" spans="1:30" s="174" customFormat="1" ht="11.25" customHeight="1">
      <c r="A34" s="247"/>
      <c r="B34" s="254"/>
      <c r="C34" s="247"/>
      <c r="D34" s="247"/>
      <c r="E34" s="197" t="s">
        <v>215</v>
      </c>
      <c r="F34" s="197" t="s">
        <v>215</v>
      </c>
      <c r="G34" s="197" t="s">
        <v>215</v>
      </c>
      <c r="H34" s="197" t="s">
        <v>215</v>
      </c>
      <c r="I34" s="183" t="s">
        <v>174</v>
      </c>
      <c r="J34" s="184" t="s">
        <v>16</v>
      </c>
      <c r="K34" s="187">
        <f>D28*0.4</f>
        <v>4</v>
      </c>
      <c r="L34" s="299" t="s">
        <v>142</v>
      </c>
      <c r="M34" s="306"/>
      <c r="N34" s="306">
        <v>3</v>
      </c>
      <c r="O34" s="306">
        <v>1</v>
      </c>
      <c r="P34" s="304"/>
      <c r="Q34" s="304">
        <f t="shared" si="6"/>
        <v>4</v>
      </c>
      <c r="R34" s="313">
        <f t="shared" si="2"/>
        <v>0</v>
      </c>
      <c r="S34" s="313">
        <f t="shared" si="3"/>
        <v>0</v>
      </c>
      <c r="T34" s="313">
        <f t="shared" si="4"/>
        <v>4</v>
      </c>
      <c r="U34" s="313">
        <f t="shared" si="5"/>
        <v>0</v>
      </c>
      <c r="V34" s="313"/>
      <c r="W34" s="304"/>
      <c r="X34" s="304"/>
      <c r="Y34" s="313"/>
      <c r="Z34" s="304"/>
      <c r="AA34" s="304"/>
      <c r="AB34" s="304"/>
      <c r="AC34" s="304"/>
      <c r="AD34" s="304"/>
    </row>
    <row r="35" spans="1:30" s="174" customFormat="1" ht="3" hidden="1" customHeight="1">
      <c r="A35" s="246">
        <v>8</v>
      </c>
      <c r="B35" s="253" t="s">
        <v>247</v>
      </c>
      <c r="C35" s="246" t="s">
        <v>214</v>
      </c>
      <c r="D35" s="246"/>
      <c r="E35" s="195" t="s">
        <v>215</v>
      </c>
      <c r="F35" s="195" t="s">
        <v>215</v>
      </c>
      <c r="G35" s="195" t="s">
        <v>215</v>
      </c>
      <c r="H35" s="195" t="s">
        <v>215</v>
      </c>
      <c r="I35" s="186" t="s">
        <v>216</v>
      </c>
      <c r="J35" s="187" t="s">
        <v>217</v>
      </c>
      <c r="K35" s="187">
        <f>D35*3</f>
        <v>0</v>
      </c>
      <c r="L35" s="297" t="s">
        <v>218</v>
      </c>
      <c r="M35" s="306"/>
      <c r="N35" s="306">
        <v>1</v>
      </c>
      <c r="O35" s="306">
        <v>1180</v>
      </c>
      <c r="P35" s="304"/>
      <c r="Q35" s="304">
        <f t="shared" ref="Q35:Q42" si="7">O35*K35</f>
        <v>0</v>
      </c>
      <c r="R35" s="313">
        <f t="shared" ref="R35:R42" si="8">IF(N35=$R$14,Q35,0)</f>
        <v>0</v>
      </c>
      <c r="S35" s="313">
        <f t="shared" ref="S35:S42" si="9">IF(N35=$S$14,Q35,0)</f>
        <v>0</v>
      </c>
      <c r="T35" s="313">
        <f t="shared" ref="T35:T42" si="10">IF(N35=$T$14,Q35,0)</f>
        <v>0</v>
      </c>
      <c r="U35" s="313">
        <f t="shared" ref="U35:U42" si="11">IF(N35=$U$14,Q35,0)</f>
        <v>0</v>
      </c>
      <c r="V35" s="313"/>
      <c r="W35" s="304"/>
      <c r="X35" s="304"/>
      <c r="Y35" s="313"/>
      <c r="Z35" s="304"/>
      <c r="AA35" s="304"/>
      <c r="AB35" s="304"/>
      <c r="AC35" s="304"/>
      <c r="AD35" s="304"/>
    </row>
    <row r="36" spans="1:30" s="174" customFormat="1" ht="12.75" hidden="1" customHeight="1">
      <c r="A36" s="247"/>
      <c r="B36" s="254"/>
      <c r="C36" s="247"/>
      <c r="D36" s="247"/>
      <c r="E36" s="197" t="s">
        <v>215</v>
      </c>
      <c r="F36" s="197" t="s">
        <v>215</v>
      </c>
      <c r="G36" s="197" t="s">
        <v>215</v>
      </c>
      <c r="H36" s="197" t="s">
        <v>215</v>
      </c>
      <c r="I36" s="186" t="s">
        <v>219</v>
      </c>
      <c r="J36" s="187" t="s">
        <v>217</v>
      </c>
      <c r="K36" s="187">
        <f>D35*1</f>
        <v>0</v>
      </c>
      <c r="L36" s="297" t="s">
        <v>142</v>
      </c>
      <c r="M36" s="306"/>
      <c r="N36" s="306">
        <v>1</v>
      </c>
      <c r="O36" s="306">
        <v>2.7</v>
      </c>
      <c r="P36" s="304"/>
      <c r="Q36" s="304">
        <f t="shared" si="7"/>
        <v>0</v>
      </c>
      <c r="R36" s="313">
        <f t="shared" si="8"/>
        <v>0</v>
      </c>
      <c r="S36" s="313">
        <f t="shared" si="9"/>
        <v>0</v>
      </c>
      <c r="T36" s="313">
        <f t="shared" si="10"/>
        <v>0</v>
      </c>
      <c r="U36" s="313">
        <f t="shared" si="11"/>
        <v>0</v>
      </c>
      <c r="V36" s="313"/>
      <c r="W36" s="304"/>
      <c r="X36" s="304"/>
      <c r="Y36" s="313"/>
      <c r="Z36" s="304"/>
      <c r="AA36" s="304"/>
      <c r="AB36" s="304"/>
      <c r="AC36" s="304"/>
      <c r="AD36" s="304"/>
    </row>
    <row r="37" spans="1:30" s="174" customFormat="1" hidden="1">
      <c r="A37" s="247"/>
      <c r="B37" s="254"/>
      <c r="C37" s="247"/>
      <c r="D37" s="247"/>
      <c r="E37" s="197" t="s">
        <v>215</v>
      </c>
      <c r="F37" s="197" t="s">
        <v>215</v>
      </c>
      <c r="G37" s="197" t="s">
        <v>215</v>
      </c>
      <c r="H37" s="197" t="s">
        <v>215</v>
      </c>
      <c r="I37" s="186" t="s">
        <v>220</v>
      </c>
      <c r="J37" s="187" t="s">
        <v>217</v>
      </c>
      <c r="K37" s="187">
        <f>D35*1</f>
        <v>0</v>
      </c>
      <c r="L37" s="297" t="s">
        <v>142</v>
      </c>
      <c r="M37" s="306"/>
      <c r="N37" s="306">
        <v>1</v>
      </c>
      <c r="O37" s="306">
        <v>1.3</v>
      </c>
      <c r="P37" s="304"/>
      <c r="Q37" s="304">
        <f t="shared" si="7"/>
        <v>0</v>
      </c>
      <c r="R37" s="313">
        <f t="shared" si="8"/>
        <v>0</v>
      </c>
      <c r="S37" s="313">
        <f t="shared" si="9"/>
        <v>0</v>
      </c>
      <c r="T37" s="313">
        <f t="shared" si="10"/>
        <v>0</v>
      </c>
      <c r="U37" s="313">
        <f t="shared" si="11"/>
        <v>0</v>
      </c>
      <c r="V37" s="313"/>
      <c r="W37" s="304"/>
      <c r="X37" s="304"/>
      <c r="Y37" s="313"/>
      <c r="Z37" s="304"/>
      <c r="AA37" s="304"/>
      <c r="AB37" s="304"/>
      <c r="AC37" s="304"/>
      <c r="AD37" s="304"/>
    </row>
    <row r="38" spans="1:30" s="174" customFormat="1" hidden="1">
      <c r="A38" s="247"/>
      <c r="B38" s="254"/>
      <c r="C38" s="247"/>
      <c r="D38" s="247"/>
      <c r="E38" s="197" t="s">
        <v>215</v>
      </c>
      <c r="F38" s="197" t="s">
        <v>215</v>
      </c>
      <c r="G38" s="197" t="s">
        <v>215</v>
      </c>
      <c r="H38" s="197" t="s">
        <v>215</v>
      </c>
      <c r="I38" s="186" t="s">
        <v>169</v>
      </c>
      <c r="J38" s="187" t="s">
        <v>217</v>
      </c>
      <c r="K38" s="187">
        <f>D35*2</f>
        <v>0</v>
      </c>
      <c r="L38" s="297" t="s">
        <v>142</v>
      </c>
      <c r="M38" s="306"/>
      <c r="N38" s="306">
        <v>1</v>
      </c>
      <c r="O38" s="306">
        <v>10.4</v>
      </c>
      <c r="P38" s="304"/>
      <c r="Q38" s="304">
        <f t="shared" si="7"/>
        <v>0</v>
      </c>
      <c r="R38" s="313">
        <f t="shared" si="8"/>
        <v>0</v>
      </c>
      <c r="S38" s="313">
        <f t="shared" si="9"/>
        <v>0</v>
      </c>
      <c r="T38" s="313">
        <f t="shared" si="10"/>
        <v>0</v>
      </c>
      <c r="U38" s="313">
        <f t="shared" si="11"/>
        <v>0</v>
      </c>
      <c r="V38" s="313"/>
      <c r="W38" s="304"/>
      <c r="X38" s="304"/>
      <c r="Y38" s="313"/>
      <c r="Z38" s="304"/>
      <c r="AA38" s="304"/>
      <c r="AB38" s="304"/>
      <c r="AC38" s="304"/>
      <c r="AD38" s="304"/>
    </row>
    <row r="39" spans="1:30" s="174" customFormat="1" hidden="1">
      <c r="A39" s="247"/>
      <c r="B39" s="254"/>
      <c r="C39" s="247"/>
      <c r="D39" s="247"/>
      <c r="E39" s="197" t="s">
        <v>215</v>
      </c>
      <c r="F39" s="197" t="s">
        <v>215</v>
      </c>
      <c r="G39" s="197" t="s">
        <v>215</v>
      </c>
      <c r="H39" s="197" t="s">
        <v>215</v>
      </c>
      <c r="I39" s="186" t="s">
        <v>221</v>
      </c>
      <c r="J39" s="187" t="s">
        <v>170</v>
      </c>
      <c r="K39" s="187">
        <f>D35*8</f>
        <v>0</v>
      </c>
      <c r="L39" s="297" t="s">
        <v>142</v>
      </c>
      <c r="M39" s="306"/>
      <c r="N39" s="306">
        <v>1</v>
      </c>
      <c r="O39" s="306">
        <f>0.888</f>
        <v>0.88800000000000001</v>
      </c>
      <c r="P39" s="304"/>
      <c r="Q39" s="304">
        <f t="shared" si="7"/>
        <v>0</v>
      </c>
      <c r="R39" s="313">
        <f t="shared" si="8"/>
        <v>0</v>
      </c>
      <c r="S39" s="313">
        <f t="shared" si="9"/>
        <v>0</v>
      </c>
      <c r="T39" s="313">
        <f t="shared" si="10"/>
        <v>0</v>
      </c>
      <c r="U39" s="313">
        <f t="shared" si="11"/>
        <v>0</v>
      </c>
      <c r="V39" s="313"/>
      <c r="W39" s="304"/>
      <c r="X39" s="304"/>
      <c r="Y39" s="313"/>
      <c r="Z39" s="304"/>
      <c r="AA39" s="304"/>
      <c r="AB39" s="304"/>
      <c r="AC39" s="304"/>
      <c r="AD39" s="304"/>
    </row>
    <row r="40" spans="1:30" s="174" customFormat="1" hidden="1">
      <c r="A40" s="247"/>
      <c r="B40" s="254"/>
      <c r="C40" s="247"/>
      <c r="D40" s="247"/>
      <c r="E40" s="197" t="s">
        <v>215</v>
      </c>
      <c r="F40" s="197" t="s">
        <v>215</v>
      </c>
      <c r="G40" s="197" t="s">
        <v>215</v>
      </c>
      <c r="H40" s="197" t="s">
        <v>215</v>
      </c>
      <c r="I40" s="186" t="s">
        <v>244</v>
      </c>
      <c r="J40" s="187" t="s">
        <v>170</v>
      </c>
      <c r="K40" s="187">
        <f>+D35*2.5</f>
        <v>0</v>
      </c>
      <c r="L40" s="297" t="s">
        <v>142</v>
      </c>
      <c r="M40" s="306"/>
      <c r="N40" s="306">
        <v>1</v>
      </c>
      <c r="O40" s="306">
        <v>1.58</v>
      </c>
      <c r="P40" s="304"/>
      <c r="Q40" s="304">
        <f t="shared" si="7"/>
        <v>0</v>
      </c>
      <c r="R40" s="313">
        <f t="shared" si="8"/>
        <v>0</v>
      </c>
      <c r="S40" s="313">
        <f t="shared" si="9"/>
        <v>0</v>
      </c>
      <c r="T40" s="313">
        <f t="shared" si="10"/>
        <v>0</v>
      </c>
      <c r="U40" s="313">
        <f t="shared" si="11"/>
        <v>0</v>
      </c>
      <c r="V40" s="313"/>
      <c r="W40" s="304"/>
      <c r="X40" s="304"/>
      <c r="Y40" s="313"/>
      <c r="Z40" s="304"/>
      <c r="AA40" s="304"/>
      <c r="AB40" s="304"/>
      <c r="AC40" s="304"/>
      <c r="AD40" s="304"/>
    </row>
    <row r="41" spans="1:30" s="174" customFormat="1" hidden="1">
      <c r="A41" s="247"/>
      <c r="B41" s="254"/>
      <c r="C41" s="247"/>
      <c r="D41" s="247"/>
      <c r="E41" s="197" t="s">
        <v>215</v>
      </c>
      <c r="F41" s="197" t="s">
        <v>215</v>
      </c>
      <c r="G41" s="197" t="s">
        <v>215</v>
      </c>
      <c r="H41" s="197" t="s">
        <v>215</v>
      </c>
      <c r="I41" s="186" t="s">
        <v>222</v>
      </c>
      <c r="J41" s="187" t="s">
        <v>217</v>
      </c>
      <c r="K41" s="187">
        <f>D35*1</f>
        <v>0</v>
      </c>
      <c r="L41" s="297" t="s">
        <v>142</v>
      </c>
      <c r="M41" s="306"/>
      <c r="N41" s="306">
        <v>1</v>
      </c>
      <c r="O41" s="306">
        <v>0.42</v>
      </c>
      <c r="P41" s="304"/>
      <c r="Q41" s="304">
        <f t="shared" si="7"/>
        <v>0</v>
      </c>
      <c r="R41" s="313">
        <f t="shared" si="8"/>
        <v>0</v>
      </c>
      <c r="S41" s="313">
        <f t="shared" si="9"/>
        <v>0</v>
      </c>
      <c r="T41" s="313">
        <f t="shared" si="10"/>
        <v>0</v>
      </c>
      <c r="U41" s="313">
        <f t="shared" si="11"/>
        <v>0</v>
      </c>
      <c r="V41" s="313"/>
      <c r="W41" s="304"/>
      <c r="X41" s="304"/>
      <c r="Y41" s="313"/>
      <c r="Z41" s="304"/>
      <c r="AA41" s="304"/>
      <c r="AB41" s="304"/>
      <c r="AC41" s="304"/>
      <c r="AD41" s="304"/>
    </row>
    <row r="42" spans="1:30" s="174" customFormat="1" hidden="1">
      <c r="A42" s="247"/>
      <c r="B42" s="254"/>
      <c r="C42" s="247"/>
      <c r="D42" s="247"/>
      <c r="E42" s="197" t="s">
        <v>215</v>
      </c>
      <c r="F42" s="197" t="s">
        <v>215</v>
      </c>
      <c r="G42" s="197" t="s">
        <v>215</v>
      </c>
      <c r="H42" s="197" t="s">
        <v>215</v>
      </c>
      <c r="I42" s="183" t="s">
        <v>174</v>
      </c>
      <c r="J42" s="184" t="s">
        <v>16</v>
      </c>
      <c r="K42" s="187">
        <f>D35*0.4</f>
        <v>0</v>
      </c>
      <c r="L42" s="299" t="s">
        <v>142</v>
      </c>
      <c r="M42" s="306"/>
      <c r="N42" s="306">
        <v>3</v>
      </c>
      <c r="O42" s="306">
        <v>1</v>
      </c>
      <c r="P42" s="304"/>
      <c r="Q42" s="304">
        <f t="shared" si="7"/>
        <v>0</v>
      </c>
      <c r="R42" s="313">
        <f t="shared" si="8"/>
        <v>0</v>
      </c>
      <c r="S42" s="313">
        <f t="shared" si="9"/>
        <v>0</v>
      </c>
      <c r="T42" s="313">
        <f t="shared" si="10"/>
        <v>0</v>
      </c>
      <c r="U42" s="313">
        <f t="shared" si="11"/>
        <v>0</v>
      </c>
      <c r="V42" s="313"/>
      <c r="W42" s="304"/>
      <c r="X42" s="304"/>
      <c r="Y42" s="313"/>
      <c r="Z42" s="304"/>
      <c r="AA42" s="304"/>
      <c r="AB42" s="304"/>
      <c r="AC42" s="304"/>
      <c r="AD42" s="304"/>
    </row>
    <row r="43" spans="1:30" s="174" customFormat="1" ht="25.5">
      <c r="A43" s="198">
        <v>7</v>
      </c>
      <c r="B43" s="188" t="s">
        <v>161</v>
      </c>
      <c r="C43" s="198" t="s">
        <v>223</v>
      </c>
      <c r="D43" s="189">
        <v>20</v>
      </c>
      <c r="E43" s="198" t="s">
        <v>215</v>
      </c>
      <c r="F43" s="198" t="s">
        <v>215</v>
      </c>
      <c r="G43" s="198" t="s">
        <v>215</v>
      </c>
      <c r="H43" s="198" t="s">
        <v>215</v>
      </c>
      <c r="I43" s="198" t="s">
        <v>215</v>
      </c>
      <c r="J43" s="198" t="s">
        <v>215</v>
      </c>
      <c r="K43" s="198" t="s">
        <v>215</v>
      </c>
      <c r="L43" s="189" t="s">
        <v>215</v>
      </c>
      <c r="M43" s="306"/>
      <c r="N43" s="306"/>
      <c r="O43" s="306"/>
      <c r="P43" s="304"/>
      <c r="Q43" s="304"/>
      <c r="R43" s="313"/>
      <c r="S43" s="313"/>
      <c r="T43" s="313"/>
      <c r="U43" s="313"/>
      <c r="V43" s="313"/>
      <c r="W43" s="304"/>
      <c r="X43" s="304"/>
      <c r="Y43" s="313"/>
      <c r="Z43" s="304"/>
      <c r="AA43" s="304"/>
      <c r="AB43" s="304"/>
      <c r="AC43" s="304"/>
      <c r="AD43" s="304"/>
    </row>
    <row r="44" spans="1:30" s="174" customFormat="1" ht="12.75" customHeight="1">
      <c r="A44" s="252">
        <v>8</v>
      </c>
      <c r="B44" s="266" t="s">
        <v>245</v>
      </c>
      <c r="C44" s="252" t="s">
        <v>214</v>
      </c>
      <c r="D44" s="252">
        <v>20</v>
      </c>
      <c r="E44" s="252" t="s">
        <v>215</v>
      </c>
      <c r="F44" s="252" t="s">
        <v>215</v>
      </c>
      <c r="G44" s="252" t="s">
        <v>215</v>
      </c>
      <c r="H44" s="252" t="s">
        <v>215</v>
      </c>
      <c r="I44" s="220" t="s">
        <v>252</v>
      </c>
      <c r="J44" s="198" t="str">
        <f>F15</f>
        <v>км</v>
      </c>
      <c r="K44" s="214">
        <f>G15</f>
        <v>2.4</v>
      </c>
      <c r="L44" s="300" t="s">
        <v>228</v>
      </c>
      <c r="M44" s="306"/>
      <c r="N44" s="306">
        <v>1</v>
      </c>
      <c r="O44" s="306">
        <v>1.294</v>
      </c>
      <c r="P44" s="304"/>
      <c r="Q44" s="304">
        <f>O44*K44</f>
        <v>3.1055999999999999</v>
      </c>
      <c r="R44" s="304">
        <f>IF(N44=$R$14,Q44,0)</f>
        <v>3.1055999999999999</v>
      </c>
      <c r="S44" s="304">
        <f>IF(N44=$S$14,Q44,0)</f>
        <v>0</v>
      </c>
      <c r="T44" s="304">
        <f>IF(N44=$T$14,Q44,0)</f>
        <v>0</v>
      </c>
      <c r="U44" s="304">
        <f>IF(N44=$U$14,Q44,0)</f>
        <v>0</v>
      </c>
      <c r="V44" s="313"/>
      <c r="W44" s="304"/>
      <c r="X44" s="304"/>
      <c r="Y44" s="313"/>
      <c r="Z44" s="304"/>
      <c r="AA44" s="304"/>
      <c r="AB44" s="304"/>
      <c r="AC44" s="304"/>
      <c r="AD44" s="304"/>
    </row>
    <row r="45" spans="1:30" s="174" customFormat="1" ht="12.75" customHeight="1">
      <c r="A45" s="252"/>
      <c r="B45" s="267"/>
      <c r="C45" s="252"/>
      <c r="D45" s="252"/>
      <c r="E45" s="252"/>
      <c r="F45" s="252"/>
      <c r="G45" s="252"/>
      <c r="H45" s="252"/>
      <c r="I45" s="220" t="s">
        <v>19</v>
      </c>
      <c r="J45" s="213" t="s">
        <v>217</v>
      </c>
      <c r="K45" s="214">
        <f>G16</f>
        <v>80</v>
      </c>
      <c r="L45" s="300" t="s">
        <v>228</v>
      </c>
      <c r="M45" s="306"/>
      <c r="N45" s="306">
        <v>1</v>
      </c>
      <c r="O45" s="306">
        <v>0.01</v>
      </c>
      <c r="P45" s="304"/>
      <c r="Q45" s="304">
        <f>O45*K45</f>
        <v>0.8</v>
      </c>
      <c r="R45" s="304">
        <f>IF(N45=$R$14,Q45,0)</f>
        <v>0.8</v>
      </c>
      <c r="S45" s="304">
        <f>IF(N45=$S$14,Q45,0)</f>
        <v>0</v>
      </c>
      <c r="T45" s="304">
        <f>IF(N45=$T$14,Q45,0)</f>
        <v>0</v>
      </c>
      <c r="U45" s="304">
        <f>IF(N45=$U$14,Q45,0)</f>
        <v>0</v>
      </c>
      <c r="V45" s="304"/>
      <c r="W45" s="304"/>
      <c r="X45" s="304"/>
      <c r="Y45" s="313"/>
      <c r="Z45" s="304"/>
      <c r="AA45" s="304"/>
      <c r="AB45" s="304"/>
      <c r="AC45" s="304"/>
      <c r="AD45" s="304"/>
    </row>
    <row r="46" spans="1:30" s="174" customFormat="1">
      <c r="A46" s="252"/>
      <c r="B46" s="268"/>
      <c r="C46" s="252"/>
      <c r="D46" s="252"/>
      <c r="E46" s="252"/>
      <c r="F46" s="252"/>
      <c r="G46" s="252"/>
      <c r="H46" s="252"/>
      <c r="I46" s="221" t="s">
        <v>260</v>
      </c>
      <c r="J46" s="213" t="s">
        <v>170</v>
      </c>
      <c r="K46" s="215">
        <f>D44*6</f>
        <v>120</v>
      </c>
      <c r="L46" s="299" t="s">
        <v>142</v>
      </c>
      <c r="M46" s="306"/>
      <c r="N46" s="306">
        <v>1</v>
      </c>
      <c r="O46" s="306">
        <v>0.17</v>
      </c>
      <c r="P46" s="304"/>
      <c r="Q46" s="304">
        <f>O46*K46</f>
        <v>20.400000000000002</v>
      </c>
      <c r="R46" s="304">
        <f>IF(N46=$R$14,Q46,0)</f>
        <v>20.400000000000002</v>
      </c>
      <c r="S46" s="304">
        <f>IF(N46=$S$14,Q46,0)</f>
        <v>0</v>
      </c>
      <c r="T46" s="304">
        <f>IF(N46=$T$14,Q46,0)</f>
        <v>0</v>
      </c>
      <c r="U46" s="304">
        <f>IF(N46=$U$14,Q46,0)</f>
        <v>0</v>
      </c>
      <c r="V46" s="313"/>
      <c r="W46" s="304"/>
      <c r="X46" s="304"/>
      <c r="Y46" s="313"/>
      <c r="Z46" s="304"/>
      <c r="AA46" s="304"/>
      <c r="AB46" s="304"/>
      <c r="AC46" s="304"/>
      <c r="AD46" s="304"/>
    </row>
    <row r="47" spans="1:30" s="174" customFormat="1">
      <c r="A47" s="256" t="s">
        <v>224</v>
      </c>
      <c r="B47" s="257"/>
      <c r="C47" s="257"/>
      <c r="D47" s="257"/>
      <c r="E47" s="257"/>
      <c r="F47" s="257"/>
      <c r="G47" s="257"/>
      <c r="H47" s="257"/>
      <c r="I47" s="257"/>
      <c r="J47" s="257"/>
      <c r="K47" s="257"/>
      <c r="L47" s="258"/>
      <c r="M47" s="306"/>
      <c r="N47" s="306"/>
      <c r="O47" s="306"/>
      <c r="P47" s="306"/>
      <c r="Q47" s="304"/>
      <c r="R47" s="313"/>
      <c r="S47" s="313"/>
      <c r="T47" s="313"/>
      <c r="U47" s="313"/>
      <c r="V47" s="313"/>
      <c r="W47" s="304"/>
      <c r="X47" s="304"/>
      <c r="Y47" s="313"/>
      <c r="Z47" s="304"/>
      <c r="AA47" s="304"/>
      <c r="AB47" s="304"/>
      <c r="AC47" s="304"/>
      <c r="AD47" s="304"/>
    </row>
    <row r="48" spans="1:30" s="174" customFormat="1" ht="38.25">
      <c r="A48" s="195">
        <v>9</v>
      </c>
      <c r="B48" s="186" t="s">
        <v>240</v>
      </c>
      <c r="C48" s="195" t="s">
        <v>225</v>
      </c>
      <c r="D48" s="181">
        <v>7</v>
      </c>
      <c r="E48" s="196" t="s">
        <v>226</v>
      </c>
      <c r="F48" s="195" t="s">
        <v>227</v>
      </c>
      <c r="G48" s="195">
        <f>D48*1</f>
        <v>7</v>
      </c>
      <c r="H48" s="195" t="s">
        <v>228</v>
      </c>
      <c r="I48" s="195" t="s">
        <v>215</v>
      </c>
      <c r="J48" s="195" t="s">
        <v>215</v>
      </c>
      <c r="K48" s="195" t="s">
        <v>215</v>
      </c>
      <c r="L48" s="181" t="s">
        <v>215</v>
      </c>
      <c r="M48" s="306"/>
      <c r="N48" s="306"/>
      <c r="O48" s="306"/>
      <c r="P48" s="304"/>
      <c r="Q48" s="304"/>
      <c r="R48" s="313"/>
      <c r="S48" s="313"/>
      <c r="T48" s="313"/>
      <c r="U48" s="313"/>
      <c r="V48" s="313"/>
      <c r="W48" s="304"/>
      <c r="X48" s="304"/>
      <c r="Y48" s="313"/>
      <c r="Z48" s="304"/>
      <c r="AA48" s="304"/>
      <c r="AB48" s="304"/>
      <c r="AC48" s="304"/>
      <c r="AD48" s="304"/>
    </row>
    <row r="49" spans="1:30" s="174" customFormat="1" ht="36" customHeight="1">
      <c r="A49" s="246">
        <v>10</v>
      </c>
      <c r="B49" s="260" t="s">
        <v>229</v>
      </c>
      <c r="C49" s="246" t="s">
        <v>225</v>
      </c>
      <c r="D49" s="246">
        <f>D48*1</f>
        <v>7</v>
      </c>
      <c r="E49" s="246" t="s">
        <v>215</v>
      </c>
      <c r="F49" s="246" t="s">
        <v>215</v>
      </c>
      <c r="G49" s="246" t="s">
        <v>215</v>
      </c>
      <c r="H49" s="246" t="s">
        <v>215</v>
      </c>
      <c r="I49" s="196" t="s">
        <v>226</v>
      </c>
      <c r="J49" s="195" t="s">
        <v>227</v>
      </c>
      <c r="K49" s="195">
        <f>D49</f>
        <v>7</v>
      </c>
      <c r="L49" s="181" t="s">
        <v>228</v>
      </c>
      <c r="M49" s="306"/>
      <c r="N49" s="306"/>
      <c r="O49" s="304"/>
      <c r="P49" s="304"/>
      <c r="Q49" s="304"/>
      <c r="R49" s="313"/>
      <c r="S49" s="313"/>
      <c r="T49" s="313"/>
      <c r="U49" s="313"/>
      <c r="V49" s="313"/>
      <c r="W49" s="304"/>
      <c r="X49" s="304"/>
      <c r="Y49" s="313"/>
      <c r="Z49" s="304"/>
      <c r="AA49" s="304"/>
      <c r="AB49" s="304"/>
      <c r="AC49" s="304"/>
      <c r="AD49" s="304"/>
    </row>
    <row r="50" spans="1:30" s="174" customFormat="1" ht="36" customHeight="1">
      <c r="A50" s="259"/>
      <c r="B50" s="261"/>
      <c r="C50" s="259"/>
      <c r="D50" s="259"/>
      <c r="E50" s="259"/>
      <c r="F50" s="259"/>
      <c r="G50" s="259"/>
      <c r="H50" s="259"/>
      <c r="I50" s="188" t="s">
        <v>248</v>
      </c>
      <c r="J50" s="187" t="s">
        <v>217</v>
      </c>
      <c r="K50" s="187">
        <f>D49*2</f>
        <v>14</v>
      </c>
      <c r="L50" s="297" t="s">
        <v>142</v>
      </c>
      <c r="M50" s="306"/>
      <c r="N50" s="306">
        <v>1</v>
      </c>
      <c r="O50" s="306">
        <v>0.12</v>
      </c>
      <c r="P50" s="304"/>
      <c r="Q50" s="304">
        <f t="shared" si="6"/>
        <v>1.68</v>
      </c>
      <c r="R50" s="313">
        <f t="shared" si="2"/>
        <v>1.68</v>
      </c>
      <c r="S50" s="313">
        <f t="shared" si="3"/>
        <v>0</v>
      </c>
      <c r="T50" s="313">
        <f t="shared" si="4"/>
        <v>0</v>
      </c>
      <c r="U50" s="313">
        <f t="shared" si="5"/>
        <v>0</v>
      </c>
      <c r="V50" s="313"/>
      <c r="W50" s="304"/>
      <c r="X50" s="304"/>
      <c r="Y50" s="313"/>
      <c r="Z50" s="304"/>
      <c r="AA50" s="304"/>
      <c r="AB50" s="304"/>
      <c r="AC50" s="304"/>
      <c r="AD50" s="304"/>
    </row>
    <row r="51" spans="1:30" s="174" customFormat="1" ht="38.25">
      <c r="A51" s="195">
        <v>11</v>
      </c>
      <c r="B51" s="199" t="s">
        <v>241</v>
      </c>
      <c r="C51" s="195" t="s">
        <v>225</v>
      </c>
      <c r="D51" s="181">
        <v>1</v>
      </c>
      <c r="E51" s="196" t="s">
        <v>231</v>
      </c>
      <c r="F51" s="195" t="s">
        <v>227</v>
      </c>
      <c r="G51" s="195">
        <f>D51*1</f>
        <v>1</v>
      </c>
      <c r="H51" s="195" t="s">
        <v>228</v>
      </c>
      <c r="I51" s="195" t="s">
        <v>215</v>
      </c>
      <c r="J51" s="195" t="s">
        <v>215</v>
      </c>
      <c r="K51" s="195" t="s">
        <v>215</v>
      </c>
      <c r="L51" s="181" t="s">
        <v>215</v>
      </c>
      <c r="M51" s="306"/>
      <c r="N51" s="306"/>
      <c r="O51" s="306"/>
      <c r="P51" s="304"/>
      <c r="Q51" s="304"/>
      <c r="R51" s="313"/>
      <c r="S51" s="313"/>
      <c r="T51" s="313"/>
      <c r="U51" s="313"/>
      <c r="V51" s="313"/>
      <c r="W51" s="304"/>
      <c r="X51" s="304"/>
      <c r="Y51" s="313"/>
      <c r="Z51" s="304"/>
      <c r="AA51" s="304"/>
      <c r="AB51" s="304"/>
      <c r="AC51" s="304"/>
      <c r="AD51" s="304"/>
    </row>
    <row r="52" spans="1:30" s="174" customFormat="1" ht="19.5" customHeight="1">
      <c r="A52" s="246">
        <v>12</v>
      </c>
      <c r="B52" s="260" t="s">
        <v>232</v>
      </c>
      <c r="C52" s="246" t="s">
        <v>225</v>
      </c>
      <c r="D52" s="246">
        <f>D51*1</f>
        <v>1</v>
      </c>
      <c r="E52" s="246" t="s">
        <v>215</v>
      </c>
      <c r="F52" s="246" t="s">
        <v>215</v>
      </c>
      <c r="G52" s="246" t="s">
        <v>215</v>
      </c>
      <c r="H52" s="246" t="s">
        <v>215</v>
      </c>
      <c r="I52" s="196" t="s">
        <v>231</v>
      </c>
      <c r="J52" s="195" t="s">
        <v>227</v>
      </c>
      <c r="K52" s="195">
        <f>D52*1</f>
        <v>1</v>
      </c>
      <c r="L52" s="181" t="s">
        <v>228</v>
      </c>
      <c r="M52" s="306"/>
      <c r="N52" s="306"/>
      <c r="O52" s="304"/>
      <c r="P52" s="304"/>
      <c r="Q52" s="304">
        <f t="shared" ref="Q52" si="12">O52*K52</f>
        <v>0</v>
      </c>
      <c r="R52" s="313">
        <f t="shared" ref="R52" si="13">IF(N52=$R$14,Q52,0)</f>
        <v>0</v>
      </c>
      <c r="S52" s="313">
        <f t="shared" ref="S52:S54" si="14">IF(N52=$S$14,Q52,0)</f>
        <v>0</v>
      </c>
      <c r="T52" s="313">
        <f t="shared" ref="T52:T54" si="15">IF(N52=$T$14,Q52,0)</f>
        <v>0</v>
      </c>
      <c r="U52" s="313">
        <f t="shared" ref="U52:U54" si="16">IF(N52=$U$14,Q52,0)</f>
        <v>0</v>
      </c>
      <c r="V52" s="313"/>
      <c r="W52" s="304"/>
      <c r="X52" s="304"/>
      <c r="Y52" s="313"/>
      <c r="Z52" s="304"/>
      <c r="AA52" s="304"/>
      <c r="AB52" s="304"/>
      <c r="AC52" s="304"/>
      <c r="AD52" s="304"/>
    </row>
    <row r="53" spans="1:30" s="174" customFormat="1" ht="19.5" customHeight="1">
      <c r="A53" s="247"/>
      <c r="B53" s="269"/>
      <c r="C53" s="247"/>
      <c r="D53" s="247"/>
      <c r="E53" s="247"/>
      <c r="F53" s="247"/>
      <c r="G53" s="247"/>
      <c r="H53" s="247"/>
      <c r="I53" s="186" t="s">
        <v>221</v>
      </c>
      <c r="J53" s="212" t="s">
        <v>170</v>
      </c>
      <c r="K53" s="212">
        <v>30</v>
      </c>
      <c r="L53" s="181" t="s">
        <v>142</v>
      </c>
      <c r="M53" s="306"/>
      <c r="N53" s="306">
        <v>1</v>
      </c>
      <c r="O53" s="304">
        <v>0.88800000000000001</v>
      </c>
      <c r="P53" s="304"/>
      <c r="Q53" s="304">
        <f>O53*K53</f>
        <v>26.64</v>
      </c>
      <c r="R53" s="313">
        <f>IF(N53=$R$14,Q53,0)</f>
        <v>26.64</v>
      </c>
      <c r="S53" s="313">
        <f t="shared" si="14"/>
        <v>0</v>
      </c>
      <c r="T53" s="313">
        <f t="shared" si="15"/>
        <v>0</v>
      </c>
      <c r="U53" s="313">
        <f t="shared" si="16"/>
        <v>0</v>
      </c>
      <c r="V53" s="313"/>
      <c r="W53" s="304"/>
      <c r="X53" s="304"/>
      <c r="Y53" s="313"/>
      <c r="Z53" s="304"/>
      <c r="AA53" s="304"/>
      <c r="AB53" s="304"/>
      <c r="AC53" s="304"/>
      <c r="AD53" s="304"/>
    </row>
    <row r="54" spans="1:30" s="174" customFormat="1" ht="19.5" customHeight="1">
      <c r="A54" s="247"/>
      <c r="B54" s="269"/>
      <c r="C54" s="247"/>
      <c r="D54" s="247"/>
      <c r="E54" s="247"/>
      <c r="F54" s="247"/>
      <c r="G54" s="247"/>
      <c r="H54" s="247"/>
      <c r="I54" s="186" t="s">
        <v>222</v>
      </c>
      <c r="J54" s="187" t="s">
        <v>217</v>
      </c>
      <c r="K54" s="187">
        <v>3</v>
      </c>
      <c r="L54" s="297" t="s">
        <v>142</v>
      </c>
      <c r="M54" s="306"/>
      <c r="N54" s="306">
        <v>1</v>
      </c>
      <c r="O54" s="306">
        <v>0.25</v>
      </c>
      <c r="P54" s="304"/>
      <c r="Q54" s="304">
        <f t="shared" ref="Q54" si="17">O54*K54</f>
        <v>0.75</v>
      </c>
      <c r="R54" s="313">
        <f t="shared" ref="R54" si="18">IF(N54=$R$14,Q54,0)</f>
        <v>0.75</v>
      </c>
      <c r="S54" s="313">
        <f t="shared" si="14"/>
        <v>0</v>
      </c>
      <c r="T54" s="313">
        <f t="shared" si="15"/>
        <v>0</v>
      </c>
      <c r="U54" s="313">
        <f t="shared" si="16"/>
        <v>0</v>
      </c>
      <c r="V54" s="313"/>
      <c r="W54" s="304"/>
      <c r="X54" s="304"/>
      <c r="Y54" s="313"/>
      <c r="Z54" s="304"/>
      <c r="AA54" s="304"/>
      <c r="AB54" s="304"/>
      <c r="AC54" s="304"/>
      <c r="AD54" s="304"/>
    </row>
    <row r="55" spans="1:30" s="174" customFormat="1" ht="19.5" customHeight="1">
      <c r="A55" s="259"/>
      <c r="B55" s="261"/>
      <c r="C55" s="259"/>
      <c r="D55" s="259"/>
      <c r="E55" s="259"/>
      <c r="F55" s="259"/>
      <c r="G55" s="259"/>
      <c r="H55" s="259"/>
      <c r="I55" s="188" t="s">
        <v>248</v>
      </c>
      <c r="J55" s="187" t="s">
        <v>217</v>
      </c>
      <c r="K55" s="187">
        <f>D52*4</f>
        <v>4</v>
      </c>
      <c r="L55" s="297" t="s">
        <v>142</v>
      </c>
      <c r="M55" s="306"/>
      <c r="N55" s="306">
        <v>1</v>
      </c>
      <c r="O55" s="306">
        <v>0.12</v>
      </c>
      <c r="P55" s="304"/>
      <c r="Q55" s="304">
        <f t="shared" si="6"/>
        <v>0.48</v>
      </c>
      <c r="R55" s="313">
        <f t="shared" si="2"/>
        <v>0.48</v>
      </c>
      <c r="S55" s="313">
        <f t="shared" si="3"/>
        <v>0</v>
      </c>
      <c r="T55" s="313">
        <f t="shared" si="4"/>
        <v>0</v>
      </c>
      <c r="U55" s="313">
        <f t="shared" si="5"/>
        <v>0</v>
      </c>
      <c r="V55" s="313"/>
      <c r="W55" s="304"/>
      <c r="X55" s="304"/>
      <c r="Y55" s="313"/>
      <c r="Z55" s="304"/>
      <c r="AA55" s="304"/>
      <c r="AB55" s="304"/>
      <c r="AC55" s="304"/>
      <c r="AD55" s="304"/>
    </row>
    <row r="56" spans="1:30" s="174" customFormat="1">
      <c r="A56" s="256" t="s">
        <v>243</v>
      </c>
      <c r="B56" s="257"/>
      <c r="C56" s="257"/>
      <c r="D56" s="257"/>
      <c r="E56" s="257"/>
      <c r="F56" s="257"/>
      <c r="G56" s="257"/>
      <c r="H56" s="257"/>
      <c r="I56" s="257"/>
      <c r="J56" s="257"/>
      <c r="K56" s="257"/>
      <c r="L56" s="258"/>
      <c r="M56" s="306"/>
      <c r="N56" s="306"/>
      <c r="O56" s="306"/>
      <c r="P56" s="306"/>
      <c r="Q56" s="304"/>
      <c r="R56" s="306"/>
      <c r="S56" s="306"/>
      <c r="T56" s="306"/>
      <c r="U56" s="306"/>
      <c r="V56" s="304"/>
      <c r="W56" s="304"/>
      <c r="X56" s="304"/>
      <c r="Y56" s="304"/>
      <c r="Z56" s="304"/>
      <c r="AA56" s="304"/>
      <c r="AB56" s="304"/>
      <c r="AC56" s="304"/>
      <c r="AD56" s="304"/>
    </row>
    <row r="57" spans="1:30" s="174" customFormat="1" ht="29.25" customHeight="1">
      <c r="A57" s="195">
        <v>13</v>
      </c>
      <c r="B57" s="199" t="s">
        <v>238</v>
      </c>
      <c r="C57" s="195" t="s">
        <v>15</v>
      </c>
      <c r="D57" s="181">
        <v>8</v>
      </c>
      <c r="E57" s="196" t="s">
        <v>30</v>
      </c>
      <c r="F57" s="195" t="s">
        <v>217</v>
      </c>
      <c r="G57" s="195">
        <f>D57*1</f>
        <v>8</v>
      </c>
      <c r="H57" s="195" t="s">
        <v>228</v>
      </c>
      <c r="I57" s="195" t="s">
        <v>215</v>
      </c>
      <c r="J57" s="195" t="s">
        <v>215</v>
      </c>
      <c r="K57" s="195" t="s">
        <v>215</v>
      </c>
      <c r="L57" s="181" t="s">
        <v>215</v>
      </c>
      <c r="M57" s="306"/>
      <c r="N57" s="306"/>
      <c r="O57" s="306"/>
      <c r="P57" s="306"/>
      <c r="Q57" s="304"/>
      <c r="R57" s="306"/>
      <c r="S57" s="306"/>
      <c r="T57" s="306"/>
      <c r="U57" s="306"/>
      <c r="V57" s="304"/>
      <c r="W57" s="304"/>
      <c r="X57" s="304"/>
      <c r="Y57" s="304"/>
      <c r="Z57" s="304"/>
      <c r="AA57" s="304"/>
      <c r="AB57" s="304"/>
      <c r="AC57" s="304"/>
      <c r="AD57" s="304"/>
    </row>
    <row r="58" spans="1:30" s="174" customFormat="1" ht="28.5" customHeight="1" outlineLevel="1">
      <c r="A58" s="246">
        <v>14</v>
      </c>
      <c r="B58" s="260" t="s">
        <v>242</v>
      </c>
      <c r="C58" s="246" t="s">
        <v>15</v>
      </c>
      <c r="D58" s="246">
        <f>D57*1</f>
        <v>8</v>
      </c>
      <c r="E58" s="246" t="s">
        <v>215</v>
      </c>
      <c r="F58" s="246" t="s">
        <v>215</v>
      </c>
      <c r="G58" s="246" t="s">
        <v>215</v>
      </c>
      <c r="H58" s="246" t="s">
        <v>215</v>
      </c>
      <c r="I58" s="196" t="s">
        <v>30</v>
      </c>
      <c r="J58" s="195" t="s">
        <v>217</v>
      </c>
      <c r="K58" s="195">
        <f>D58*1</f>
        <v>8</v>
      </c>
      <c r="L58" s="181" t="s">
        <v>228</v>
      </c>
      <c r="M58" s="306"/>
      <c r="N58" s="306"/>
      <c r="O58" s="306"/>
      <c r="P58" s="306"/>
      <c r="Q58" s="304"/>
      <c r="R58" s="306"/>
      <c r="S58" s="306"/>
      <c r="T58" s="306"/>
      <c r="U58" s="306"/>
      <c r="V58" s="306"/>
      <c r="W58" s="306"/>
      <c r="X58" s="306"/>
      <c r="Y58" s="306"/>
      <c r="Z58" s="304"/>
      <c r="AA58" s="304"/>
      <c r="AB58" s="304"/>
      <c r="AC58" s="304"/>
      <c r="AD58" s="304"/>
    </row>
    <row r="59" spans="1:30" s="174" customFormat="1" outlineLevel="1">
      <c r="A59" s="259"/>
      <c r="B59" s="261"/>
      <c r="C59" s="259"/>
      <c r="D59" s="259"/>
      <c r="E59" s="259"/>
      <c r="F59" s="259"/>
      <c r="G59" s="259"/>
      <c r="H59" s="259"/>
      <c r="I59" s="196" t="s">
        <v>230</v>
      </c>
      <c r="J59" s="195" t="s">
        <v>217</v>
      </c>
      <c r="K59" s="195">
        <f>K58*2</f>
        <v>16</v>
      </c>
      <c r="L59" s="189" t="s">
        <v>142</v>
      </c>
      <c r="M59" s="306"/>
      <c r="N59" s="306">
        <v>1</v>
      </c>
      <c r="O59" s="304">
        <v>0.22</v>
      </c>
      <c r="P59" s="304"/>
      <c r="Q59" s="304">
        <f>O59*K59</f>
        <v>3.52</v>
      </c>
      <c r="R59" s="313">
        <f>IF(N59=$R$14,Q59,0)</f>
        <v>3.52</v>
      </c>
      <c r="S59" s="313">
        <f>IF(N59=$S$14,Q59,0)</f>
        <v>0</v>
      </c>
      <c r="T59" s="313">
        <f>IF(N59=$T$14,Q59,0)</f>
        <v>0</v>
      </c>
      <c r="U59" s="313">
        <f>IF(N59=$U$14,Q59,0)</f>
        <v>0</v>
      </c>
      <c r="V59" s="304"/>
      <c r="W59" s="304"/>
      <c r="X59" s="304"/>
      <c r="Y59" s="304"/>
      <c r="Z59" s="304"/>
      <c r="AA59" s="304"/>
      <c r="AB59" s="304"/>
      <c r="AC59" s="304"/>
      <c r="AD59" s="304"/>
    </row>
    <row r="60" spans="1:30" s="174" customFormat="1" ht="15" outlineLevel="1">
      <c r="A60" s="262" t="s">
        <v>187</v>
      </c>
      <c r="B60" s="263"/>
      <c r="C60" s="263"/>
      <c r="D60" s="263"/>
      <c r="E60" s="263"/>
      <c r="F60" s="263"/>
      <c r="G60" s="263"/>
      <c r="H60" s="263"/>
      <c r="I60" s="263"/>
      <c r="J60" s="263"/>
      <c r="K60" s="263"/>
      <c r="L60" s="264"/>
      <c r="M60" s="314"/>
      <c r="N60" s="314"/>
      <c r="O60" s="314"/>
      <c r="P60" s="314"/>
      <c r="Q60" s="315">
        <f>+SUM(Q21:Q59)</f>
        <v>35799.375600000007</v>
      </c>
      <c r="R60" s="315">
        <f>+SUM(R21:R59)</f>
        <v>35728.375600000007</v>
      </c>
      <c r="S60" s="315">
        <f>+SUM(S21:S59)</f>
        <v>0</v>
      </c>
      <c r="T60" s="315">
        <f>+SUM(T21:T59)</f>
        <v>71</v>
      </c>
      <c r="U60" s="316">
        <f>+SUM(U21:U59)</f>
        <v>0</v>
      </c>
      <c r="V60" s="304"/>
      <c r="W60" s="304"/>
      <c r="X60" s="304"/>
      <c r="Y60" s="304"/>
      <c r="Z60" s="304"/>
      <c r="AA60" s="304"/>
      <c r="AB60" s="304"/>
      <c r="AC60" s="304"/>
      <c r="AD60" s="304"/>
    </row>
    <row r="61" spans="1:30" s="174" customFormat="1" ht="15" outlineLevel="1">
      <c r="A61" s="190" t="s">
        <v>189</v>
      </c>
      <c r="B61" s="265" t="s">
        <v>151</v>
      </c>
      <c r="C61" s="265"/>
      <c r="D61" s="265"/>
      <c r="E61" s="265"/>
      <c r="F61" s="265"/>
      <c r="G61" s="265"/>
      <c r="H61" s="265"/>
      <c r="I61" s="265"/>
      <c r="J61" s="265"/>
      <c r="K61" s="265"/>
      <c r="L61" s="265"/>
      <c r="M61" s="317"/>
      <c r="N61" s="317"/>
      <c r="O61" s="317"/>
      <c r="P61" s="317"/>
      <c r="Q61" s="317"/>
      <c r="R61" s="317"/>
      <c r="S61" s="317"/>
      <c r="T61" s="317"/>
      <c r="U61" s="317"/>
      <c r="V61" s="304"/>
      <c r="W61" s="304"/>
      <c r="X61" s="304"/>
      <c r="Y61" s="304"/>
      <c r="Z61" s="304"/>
      <c r="AA61" s="304"/>
      <c r="AB61" s="304"/>
      <c r="AC61" s="304"/>
      <c r="AD61" s="304"/>
    </row>
    <row r="62" spans="1:30" s="174" customFormat="1" ht="25.5" outlineLevel="1">
      <c r="A62" s="116" t="s">
        <v>193</v>
      </c>
      <c r="B62" s="166" t="s">
        <v>329</v>
      </c>
      <c r="C62" s="12" t="s">
        <v>156</v>
      </c>
      <c r="D62" s="16">
        <f>+R75/1000</f>
        <v>35.4</v>
      </c>
      <c r="E62" s="23"/>
      <c r="F62" s="23"/>
      <c r="G62" s="175"/>
      <c r="H62" s="175"/>
      <c r="I62" s="18"/>
      <c r="J62" s="172"/>
      <c r="K62" s="10"/>
      <c r="L62" s="301"/>
      <c r="M62" s="314"/>
      <c r="N62" s="314"/>
      <c r="O62" s="314"/>
      <c r="P62" s="314"/>
      <c r="Q62" s="314"/>
      <c r="R62" s="314"/>
      <c r="S62" s="314"/>
      <c r="T62" s="314"/>
      <c r="U62" s="314"/>
      <c r="V62" s="304"/>
      <c r="W62" s="304"/>
      <c r="X62" s="304"/>
      <c r="Y62" s="304"/>
      <c r="Z62" s="304"/>
      <c r="AA62" s="304"/>
      <c r="AB62" s="304"/>
      <c r="AC62" s="304"/>
      <c r="AD62" s="304"/>
    </row>
    <row r="63" spans="1:30" s="174" customFormat="1" ht="38.25" outlineLevel="1">
      <c r="A63" s="116" t="s">
        <v>188</v>
      </c>
      <c r="B63" s="166" t="s">
        <v>148</v>
      </c>
      <c r="C63" s="12" t="s">
        <v>156</v>
      </c>
      <c r="D63" s="64">
        <f>+R77/1000</f>
        <v>0.32837560000000665</v>
      </c>
      <c r="E63" s="23"/>
      <c r="F63" s="23"/>
      <c r="G63" s="175"/>
      <c r="H63" s="175"/>
      <c r="I63" s="18"/>
      <c r="J63" s="172"/>
      <c r="K63" s="10"/>
      <c r="L63" s="301"/>
      <c r="M63" s="314"/>
      <c r="N63" s="314"/>
      <c r="O63" s="314"/>
      <c r="P63" s="314"/>
      <c r="Q63" s="314"/>
      <c r="R63" s="314"/>
      <c r="S63" s="314"/>
      <c r="T63" s="314"/>
      <c r="U63" s="314"/>
      <c r="V63" s="304"/>
      <c r="W63" s="304"/>
      <c r="X63" s="304"/>
      <c r="Y63" s="313"/>
      <c r="Z63" s="304"/>
      <c r="AA63" s="304"/>
      <c r="AB63" s="304"/>
      <c r="AC63" s="304"/>
      <c r="AD63" s="304"/>
    </row>
    <row r="64" spans="1:30" s="174" customFormat="1" ht="25.5" customHeight="1" outlineLevel="1">
      <c r="A64" s="116" t="s">
        <v>190</v>
      </c>
      <c r="B64" s="265" t="s">
        <v>152</v>
      </c>
      <c r="C64" s="265"/>
      <c r="D64" s="265"/>
      <c r="E64" s="265"/>
      <c r="F64" s="265"/>
      <c r="G64" s="265"/>
      <c r="H64" s="265"/>
      <c r="I64" s="265"/>
      <c r="J64" s="265"/>
      <c r="K64" s="265"/>
      <c r="L64" s="265"/>
      <c r="M64" s="317"/>
      <c r="N64" s="317"/>
      <c r="O64" s="317"/>
      <c r="P64" s="317"/>
      <c r="Q64" s="317"/>
      <c r="R64" s="317"/>
      <c r="S64" s="317"/>
      <c r="T64" s="317"/>
      <c r="U64" s="317"/>
      <c r="V64" s="304"/>
      <c r="W64" s="304"/>
      <c r="X64" s="304"/>
      <c r="Y64" s="313"/>
      <c r="Z64" s="304"/>
      <c r="AA64" s="304"/>
      <c r="AB64" s="304"/>
      <c r="AC64" s="304"/>
      <c r="AD64" s="304"/>
    </row>
    <row r="65" spans="1:30" s="174" customFormat="1" ht="57.75" customHeight="1" outlineLevel="1">
      <c r="A65" s="116" t="s">
        <v>191</v>
      </c>
      <c r="B65" s="234" t="str">
        <f>CONCATENATE("Перевозка грузов автомобилями бортовыми грузоподъемностью до 15т, на расстояние до ",F77," км I класс груза")</f>
        <v>Перевозка грузов автомобилями бортовыми грузоподъемностью до 15т, на расстояние до 480 км I класс груза</v>
      </c>
      <c r="C65" s="12" t="s">
        <v>156</v>
      </c>
      <c r="D65" s="64">
        <f>+D62+D63</f>
        <v>35.728375600000007</v>
      </c>
      <c r="E65" s="23"/>
      <c r="F65" s="23"/>
      <c r="G65" s="23"/>
      <c r="H65" s="23"/>
      <c r="I65" s="23"/>
      <c r="J65" s="172"/>
      <c r="K65" s="10"/>
      <c r="L65" s="301"/>
      <c r="M65" s="314"/>
      <c r="N65" s="314"/>
      <c r="O65" s="314"/>
      <c r="P65" s="314"/>
      <c r="Q65" s="314"/>
      <c r="R65" s="314"/>
      <c r="S65" s="314"/>
      <c r="T65" s="314"/>
      <c r="U65" s="314"/>
      <c r="V65" s="306"/>
      <c r="W65" s="306"/>
      <c r="X65" s="304"/>
      <c r="Y65" s="313"/>
      <c r="Z65" s="304"/>
      <c r="AA65" s="304"/>
      <c r="AB65" s="304"/>
      <c r="AC65" s="304"/>
      <c r="AD65" s="304"/>
    </row>
    <row r="66" spans="1:30" s="174" customFormat="1" ht="14.25" outlineLevel="1">
      <c r="A66" s="116"/>
      <c r="B66" s="160"/>
      <c r="C66" s="12"/>
      <c r="D66" s="64"/>
      <c r="E66" s="32"/>
      <c r="F66" s="23"/>
      <c r="G66" s="175"/>
      <c r="H66" s="175"/>
      <c r="I66" s="175"/>
      <c r="J66" s="172"/>
      <c r="K66" s="10"/>
      <c r="L66" s="301"/>
      <c r="M66" s="314"/>
      <c r="N66" s="314"/>
      <c r="O66" s="314"/>
      <c r="P66" s="314"/>
      <c r="Q66" s="314"/>
      <c r="R66" s="314"/>
      <c r="S66" s="314"/>
      <c r="T66" s="314"/>
      <c r="U66" s="314"/>
      <c r="V66" s="306"/>
      <c r="W66" s="304"/>
      <c r="X66" s="304"/>
      <c r="Y66" s="313"/>
      <c r="Z66" s="304"/>
      <c r="AA66" s="304"/>
      <c r="AB66" s="304"/>
      <c r="AC66" s="304"/>
      <c r="AD66" s="304"/>
    </row>
    <row r="67" spans="1:30" s="174" customFormat="1" ht="19.5" customHeight="1" outlineLevel="1">
      <c r="A67" s="116" t="s">
        <v>194</v>
      </c>
      <c r="B67" s="265" t="s">
        <v>204</v>
      </c>
      <c r="C67" s="265"/>
      <c r="D67" s="265"/>
      <c r="E67" s="265"/>
      <c r="F67" s="265"/>
      <c r="G67" s="265"/>
      <c r="H67" s="265"/>
      <c r="I67" s="265"/>
      <c r="J67" s="265"/>
      <c r="K67" s="265"/>
      <c r="L67" s="265"/>
      <c r="M67" s="317"/>
      <c r="N67" s="317"/>
      <c r="O67" s="317"/>
      <c r="P67" s="317"/>
      <c r="Q67" s="317"/>
      <c r="R67" s="317"/>
      <c r="S67" s="317"/>
      <c r="T67" s="317"/>
      <c r="U67" s="317"/>
      <c r="V67" s="306"/>
      <c r="W67" s="304"/>
      <c r="X67" s="304"/>
      <c r="Y67" s="313"/>
      <c r="Z67" s="304"/>
      <c r="AA67" s="304"/>
      <c r="AB67" s="304"/>
      <c r="AC67" s="304"/>
      <c r="AD67" s="304"/>
    </row>
    <row r="68" spans="1:30" s="174" customFormat="1" ht="40.5" customHeight="1" outlineLevel="1">
      <c r="A68" s="116" t="s">
        <v>192</v>
      </c>
      <c r="B68" s="166" t="s">
        <v>149</v>
      </c>
      <c r="C68" s="12" t="s">
        <v>156</v>
      </c>
      <c r="D68" s="16">
        <f>+D62</f>
        <v>35.4</v>
      </c>
      <c r="E68" s="23"/>
      <c r="F68" s="23"/>
      <c r="G68" s="175"/>
      <c r="H68" s="175"/>
      <c r="I68" s="18"/>
      <c r="J68" s="172"/>
      <c r="K68" s="10"/>
      <c r="L68" s="301"/>
      <c r="M68" s="314"/>
      <c r="N68" s="314"/>
      <c r="O68" s="314"/>
      <c r="P68" s="314"/>
      <c r="Q68" s="314"/>
      <c r="R68" s="314"/>
      <c r="S68" s="314"/>
      <c r="T68" s="314"/>
      <c r="U68" s="314"/>
      <c r="V68" s="306"/>
      <c r="W68" s="304"/>
      <c r="X68" s="304"/>
      <c r="Y68" s="313"/>
      <c r="Z68" s="304"/>
      <c r="AA68" s="304"/>
      <c r="AB68" s="304"/>
      <c r="AC68" s="304"/>
      <c r="AD68" s="304"/>
    </row>
    <row r="69" spans="1:30" s="174" customFormat="1" ht="40.5" customHeight="1">
      <c r="A69" s="116" t="s">
        <v>195</v>
      </c>
      <c r="B69" s="166" t="s">
        <v>150</v>
      </c>
      <c r="C69" s="12" t="s">
        <v>156</v>
      </c>
      <c r="D69" s="64">
        <f>+D63</f>
        <v>0.32837560000000665</v>
      </c>
      <c r="E69" s="23"/>
      <c r="F69" s="23"/>
      <c r="G69" s="175"/>
      <c r="H69" s="175"/>
      <c r="I69" s="18"/>
      <c r="J69" s="172"/>
      <c r="K69" s="10"/>
      <c r="L69" s="301"/>
      <c r="M69" s="314"/>
      <c r="N69" s="314"/>
      <c r="O69" s="314"/>
      <c r="P69" s="314"/>
      <c r="Q69" s="314"/>
      <c r="R69" s="314"/>
      <c r="S69" s="314"/>
      <c r="T69" s="314"/>
      <c r="U69" s="314"/>
      <c r="V69" s="315"/>
      <c r="W69" s="313"/>
      <c r="X69" s="313">
        <f>SUM(X30:X68)</f>
        <v>0</v>
      </c>
      <c r="Y69" s="313"/>
      <c r="Z69" s="304"/>
      <c r="AA69" s="318">
        <f>SUM(AA30:AA68)</f>
        <v>0</v>
      </c>
      <c r="AB69" s="304"/>
      <c r="AC69" s="304"/>
      <c r="AD69" s="304"/>
    </row>
    <row r="70" spans="1:30" s="174" customFormat="1" ht="15">
      <c r="A70" s="116" t="s">
        <v>197</v>
      </c>
      <c r="B70" s="265" t="s">
        <v>153</v>
      </c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317"/>
      <c r="N70" s="317"/>
      <c r="O70" s="317"/>
      <c r="P70" s="317"/>
      <c r="Q70" s="317"/>
      <c r="R70" s="317"/>
      <c r="S70" s="317"/>
      <c r="T70" s="317"/>
      <c r="U70" s="317"/>
      <c r="V70" s="317"/>
      <c r="W70" s="313"/>
      <c r="X70" s="313"/>
      <c r="Y70" s="313"/>
      <c r="Z70" s="304"/>
      <c r="AA70" s="318"/>
      <c r="AB70" s="304"/>
      <c r="AC70" s="304"/>
      <c r="AD70" s="304"/>
    </row>
    <row r="71" spans="1:30" s="174" customFormat="1" ht="51">
      <c r="A71" s="116" t="s">
        <v>196</v>
      </c>
      <c r="B71" s="166" t="s">
        <v>154</v>
      </c>
      <c r="C71" s="12" t="s">
        <v>156</v>
      </c>
      <c r="D71" s="64">
        <f>+P76/1000</f>
        <v>8.4</v>
      </c>
      <c r="E71" s="23"/>
      <c r="F71" s="23"/>
      <c r="G71" s="175"/>
      <c r="H71" s="175"/>
      <c r="I71" s="18"/>
      <c r="J71" s="172"/>
      <c r="K71" s="10"/>
      <c r="L71" s="301"/>
      <c r="M71" s="314"/>
      <c r="N71" s="314"/>
      <c r="O71" s="314"/>
      <c r="P71" s="314"/>
      <c r="Q71" s="314"/>
      <c r="R71" s="314"/>
      <c r="S71" s="314"/>
      <c r="T71" s="314"/>
      <c r="U71" s="314"/>
      <c r="V71" s="314"/>
      <c r="W71" s="313"/>
      <c r="X71" s="313"/>
      <c r="Y71" s="313"/>
      <c r="Z71" s="304"/>
      <c r="AA71" s="318"/>
      <c r="AB71" s="304"/>
      <c r="AC71" s="304"/>
      <c r="AD71" s="304"/>
    </row>
    <row r="72" spans="1:30" s="174" customFormat="1" ht="63.75">
      <c r="A72" s="116" t="s">
        <v>198</v>
      </c>
      <c r="B72" s="166" t="s">
        <v>155</v>
      </c>
      <c r="C72" s="12" t="s">
        <v>156</v>
      </c>
      <c r="D72" s="64">
        <f>+P77/1000</f>
        <v>6.4000000000000001E-2</v>
      </c>
      <c r="E72" s="23"/>
      <c r="F72" s="23"/>
      <c r="G72" s="175"/>
      <c r="H72" s="175"/>
      <c r="I72" s="18"/>
      <c r="J72" s="172"/>
      <c r="K72" s="10"/>
      <c r="L72" s="301"/>
      <c r="M72" s="314"/>
      <c r="N72" s="314"/>
      <c r="O72" s="314"/>
      <c r="P72" s="314"/>
      <c r="Q72" s="314"/>
      <c r="R72" s="314"/>
      <c r="S72" s="314"/>
      <c r="T72" s="314"/>
      <c r="U72" s="314"/>
      <c r="V72" s="314"/>
      <c r="W72" s="313"/>
      <c r="X72" s="313"/>
      <c r="Y72" s="313"/>
      <c r="Z72" s="304"/>
      <c r="AA72" s="318"/>
      <c r="AB72" s="304"/>
      <c r="AC72" s="304"/>
      <c r="AD72" s="304"/>
    </row>
    <row r="73" spans="1:30" s="174" customFormat="1" ht="70.5" customHeight="1">
      <c r="A73" s="116" t="s">
        <v>199</v>
      </c>
      <c r="B73" s="234" t="str">
        <f>CONCATENATE("Перевозка строительного мусора автомобилями-самосвалами  грузоподъемностью до 10т, на расстояние до ",F78," км I класс груза")</f>
        <v>Перевозка строительного мусора автомобилями-самосвалами  грузоподъемностью до 10т, на расстояние до 6 км I класс груза</v>
      </c>
      <c r="C73" s="12" t="s">
        <v>156</v>
      </c>
      <c r="D73" s="64">
        <f>+D71+D72</f>
        <v>8.4640000000000004</v>
      </c>
      <c r="E73" s="23"/>
      <c r="F73" s="23"/>
      <c r="G73" s="175"/>
      <c r="H73" s="175"/>
      <c r="I73" s="18"/>
      <c r="J73" s="172"/>
      <c r="K73" s="10"/>
      <c r="L73" s="301"/>
      <c r="M73" s="314"/>
      <c r="N73" s="314"/>
      <c r="O73" s="314"/>
      <c r="P73" s="314"/>
      <c r="Q73" s="314"/>
      <c r="R73" s="314">
        <v>1</v>
      </c>
      <c r="S73" s="314">
        <v>2</v>
      </c>
      <c r="T73" s="314">
        <v>3</v>
      </c>
      <c r="U73" s="314">
        <v>4</v>
      </c>
      <c r="V73" s="317"/>
      <c r="W73" s="313"/>
      <c r="X73" s="313"/>
      <c r="Y73" s="313"/>
      <c r="Z73" s="304"/>
      <c r="AA73" s="318"/>
      <c r="AB73" s="304"/>
      <c r="AC73" s="304"/>
      <c r="AD73" s="304"/>
    </row>
    <row r="74" spans="1:30" s="174" customFormat="1">
      <c r="A74" s="24"/>
      <c r="B74" s="25"/>
      <c r="C74" s="26"/>
      <c r="D74" s="27"/>
      <c r="G74" s="177"/>
      <c r="H74" s="177"/>
      <c r="I74" s="28"/>
      <c r="J74" s="29"/>
      <c r="K74" s="30"/>
      <c r="L74" s="177"/>
      <c r="M74" s="314"/>
      <c r="N74" s="314"/>
      <c r="O74" s="314" t="s">
        <v>167</v>
      </c>
      <c r="P74" s="319">
        <f>SUM(P17:P20)</f>
        <v>8464</v>
      </c>
      <c r="Q74" s="304" t="s">
        <v>175</v>
      </c>
      <c r="R74" s="320">
        <f>+R60</f>
        <v>35728.375600000007</v>
      </c>
      <c r="S74" s="320">
        <f t="shared" ref="S74:U74" si="19">+S60</f>
        <v>0</v>
      </c>
      <c r="T74" s="320">
        <f t="shared" si="19"/>
        <v>71</v>
      </c>
      <c r="U74" s="321">
        <f t="shared" si="19"/>
        <v>0</v>
      </c>
      <c r="V74" s="314"/>
      <c r="W74" s="313"/>
      <c r="X74" s="313"/>
      <c r="Y74" s="313"/>
      <c r="Z74" s="304"/>
      <c r="AA74" s="318"/>
      <c r="AB74" s="304"/>
      <c r="AC74" s="304"/>
      <c r="AD74" s="304"/>
    </row>
    <row r="75" spans="1:30" s="174" customFormat="1" hidden="1" outlineLevel="1">
      <c r="A75" s="24"/>
      <c r="B75" s="139" t="s">
        <v>158</v>
      </c>
      <c r="D75" s="27"/>
      <c r="F75" s="162">
        <v>6</v>
      </c>
      <c r="G75" s="140" t="s">
        <v>14</v>
      </c>
      <c r="H75" s="177"/>
      <c r="I75" s="28"/>
      <c r="J75" s="29"/>
      <c r="K75" s="30"/>
      <c r="L75" s="177"/>
      <c r="M75" s="314"/>
      <c r="N75" s="314"/>
      <c r="O75" s="314"/>
      <c r="P75" s="319"/>
      <c r="Q75" s="304" t="s">
        <v>239</v>
      </c>
      <c r="R75" s="320">
        <f>+R76</f>
        <v>35400</v>
      </c>
      <c r="S75" s="320"/>
      <c r="T75" s="320"/>
      <c r="U75" s="320"/>
      <c r="V75" s="314"/>
      <c r="W75" s="313"/>
      <c r="X75" s="313"/>
      <c r="Y75" s="313"/>
      <c r="Z75" s="304"/>
      <c r="AA75" s="318"/>
      <c r="AB75" s="304"/>
      <c r="AC75" s="304"/>
      <c r="AD75" s="304"/>
    </row>
    <row r="76" spans="1:30" s="174" customFormat="1" ht="15" collapsed="1">
      <c r="A76" s="24"/>
      <c r="B76" s="25" t="s">
        <v>159</v>
      </c>
      <c r="D76" s="27"/>
      <c r="F76" s="163">
        <f>+R76/1000</f>
        <v>35.4</v>
      </c>
      <c r="G76" s="140" t="s">
        <v>27</v>
      </c>
      <c r="H76" s="177"/>
      <c r="I76" s="28"/>
      <c r="J76" s="29"/>
      <c r="K76" s="30"/>
      <c r="L76" s="177"/>
      <c r="M76" s="314"/>
      <c r="N76" s="314"/>
      <c r="O76" s="314" t="s">
        <v>176</v>
      </c>
      <c r="P76" s="319">
        <f>+P17+P19</f>
        <v>8400</v>
      </c>
      <c r="Q76" s="314" t="s">
        <v>172</v>
      </c>
      <c r="R76" s="315">
        <f>R22+R28</f>
        <v>35400</v>
      </c>
      <c r="S76" s="314"/>
      <c r="T76" s="304"/>
      <c r="U76" s="314"/>
      <c r="V76" s="317"/>
      <c r="W76" s="313"/>
      <c r="X76" s="313"/>
      <c r="Y76" s="313"/>
      <c r="Z76" s="304"/>
      <c r="AA76" s="318"/>
      <c r="AB76" s="304"/>
      <c r="AC76" s="304"/>
      <c r="AD76" s="304"/>
    </row>
    <row r="77" spans="1:30" s="174" customFormat="1">
      <c r="A77" s="24"/>
      <c r="B77" s="174" t="s">
        <v>213</v>
      </c>
      <c r="F77" s="161">
        <v>480</v>
      </c>
      <c r="G77" s="174" t="s">
        <v>14</v>
      </c>
      <c r="H77" s="177"/>
      <c r="I77" s="28"/>
      <c r="J77" s="29"/>
      <c r="K77" s="30"/>
      <c r="L77" s="177"/>
      <c r="M77" s="314"/>
      <c r="N77" s="314"/>
      <c r="O77" s="314" t="s">
        <v>33</v>
      </c>
      <c r="P77" s="319">
        <f>+P74-P76</f>
        <v>64</v>
      </c>
      <c r="Q77" s="314" t="s">
        <v>173</v>
      </c>
      <c r="R77" s="315">
        <f>R74-R75</f>
        <v>328.37560000000667</v>
      </c>
      <c r="S77" s="315">
        <f>S74</f>
        <v>0</v>
      </c>
      <c r="T77" s="315">
        <f>T74</f>
        <v>71</v>
      </c>
      <c r="U77" s="315">
        <f>U74</f>
        <v>0</v>
      </c>
      <c r="V77" s="314"/>
      <c r="W77" s="313"/>
      <c r="X77" s="313"/>
      <c r="Y77" s="313"/>
      <c r="Z77" s="304"/>
      <c r="AA77" s="318"/>
      <c r="AB77" s="304"/>
      <c r="AC77" s="304"/>
      <c r="AD77" s="304"/>
    </row>
    <row r="78" spans="1:30" s="174" customFormat="1">
      <c r="A78" s="24"/>
      <c r="B78" s="139" t="s">
        <v>153</v>
      </c>
      <c r="D78" s="27"/>
      <c r="F78" s="162">
        <v>6</v>
      </c>
      <c r="G78" s="140" t="s">
        <v>14</v>
      </c>
      <c r="H78" s="177"/>
      <c r="I78" s="28"/>
      <c r="J78" s="29"/>
      <c r="K78" s="30"/>
      <c r="L78" s="177"/>
      <c r="M78" s="314"/>
      <c r="N78" s="314"/>
      <c r="O78" s="314"/>
      <c r="P78" s="314"/>
      <c r="Q78" s="314"/>
      <c r="R78" s="314"/>
      <c r="S78" s="314"/>
      <c r="T78" s="314"/>
      <c r="U78" s="314"/>
      <c r="V78" s="314"/>
      <c r="W78" s="313"/>
      <c r="X78" s="313"/>
      <c r="Y78" s="313"/>
      <c r="Z78" s="304"/>
      <c r="AA78" s="318"/>
      <c r="AB78" s="304"/>
      <c r="AC78" s="304"/>
      <c r="AD78" s="304"/>
    </row>
    <row r="79" spans="1:30" s="174" customFormat="1" ht="15">
      <c r="A79" s="24"/>
      <c r="B79" s="139" t="s">
        <v>160</v>
      </c>
      <c r="D79" s="27"/>
      <c r="F79" s="164">
        <f>P74/1000</f>
        <v>8.4640000000000004</v>
      </c>
      <c r="G79" s="140" t="s">
        <v>27</v>
      </c>
      <c r="H79" s="177"/>
      <c r="I79" s="28"/>
      <c r="J79" s="29"/>
      <c r="K79" s="30"/>
      <c r="L79" s="177"/>
      <c r="M79" s="314"/>
      <c r="N79" s="314"/>
      <c r="O79" s="314"/>
      <c r="P79" s="314"/>
      <c r="Q79" s="314"/>
      <c r="R79" s="314">
        <f>+R75+R77+S77+T77+U77-Q60</f>
        <v>0</v>
      </c>
      <c r="S79" s="314"/>
      <c r="T79" s="314"/>
      <c r="U79" s="314"/>
      <c r="V79" s="317"/>
      <c r="W79" s="313"/>
      <c r="X79" s="313"/>
      <c r="Y79" s="313"/>
      <c r="Z79" s="304"/>
      <c r="AA79" s="318"/>
      <c r="AB79" s="304"/>
      <c r="AC79" s="304"/>
      <c r="AD79" s="304"/>
    </row>
    <row r="80" spans="1:30" s="174" customFormat="1">
      <c r="A80" s="24"/>
      <c r="B80" s="25"/>
      <c r="C80" s="26"/>
      <c r="D80" s="27"/>
      <c r="G80" s="177"/>
      <c r="H80" s="177"/>
      <c r="I80" s="28"/>
      <c r="J80" s="29"/>
      <c r="K80" s="30"/>
      <c r="L80" s="177"/>
      <c r="M80" s="314"/>
      <c r="N80" s="314"/>
      <c r="O80" s="314"/>
      <c r="P80" s="314"/>
      <c r="Q80" s="314"/>
      <c r="R80" s="314"/>
      <c r="S80" s="314"/>
      <c r="T80" s="314"/>
      <c r="U80" s="314"/>
      <c r="V80" s="314"/>
      <c r="W80" s="313"/>
      <c r="X80" s="313"/>
      <c r="Y80" s="313"/>
      <c r="Z80" s="304"/>
      <c r="AA80" s="318"/>
      <c r="AB80" s="304"/>
      <c r="AC80" s="304"/>
      <c r="AD80" s="304"/>
    </row>
    <row r="81" spans="1:30" s="174" customFormat="1">
      <c r="A81" s="24"/>
      <c r="B81" s="139" t="s">
        <v>249</v>
      </c>
      <c r="C81" s="26"/>
      <c r="D81" s="27"/>
      <c r="G81" s="177"/>
      <c r="H81" s="177"/>
      <c r="I81" s="28"/>
      <c r="J81" s="29"/>
      <c r="K81" s="30"/>
      <c r="L81" s="177"/>
      <c r="M81" s="314"/>
      <c r="N81" s="314"/>
      <c r="O81" s="314"/>
      <c r="P81" s="314"/>
      <c r="Q81" s="314"/>
      <c r="R81" s="314"/>
      <c r="S81" s="314"/>
      <c r="T81" s="314"/>
      <c r="U81" s="314"/>
      <c r="V81" s="314"/>
      <c r="W81" s="313"/>
      <c r="X81" s="313"/>
      <c r="Y81" s="313"/>
      <c r="Z81" s="304"/>
      <c r="AA81" s="318"/>
      <c r="AB81" s="304"/>
      <c r="AC81" s="304"/>
      <c r="AD81" s="304"/>
    </row>
    <row r="82" spans="1:30" s="174" customFormat="1">
      <c r="A82" s="24"/>
      <c r="B82" s="25"/>
      <c r="C82" s="26"/>
      <c r="D82" s="27"/>
      <c r="G82" s="177"/>
      <c r="H82" s="177"/>
      <c r="I82" s="28"/>
      <c r="J82" s="29"/>
      <c r="K82" s="30"/>
      <c r="L82" s="177"/>
      <c r="M82" s="314"/>
      <c r="N82" s="314"/>
      <c r="O82" s="314"/>
      <c r="P82" s="314"/>
      <c r="Q82" s="314"/>
      <c r="R82" s="314"/>
      <c r="S82" s="314"/>
      <c r="T82" s="314"/>
      <c r="U82" s="314"/>
      <c r="V82" s="314"/>
      <c r="W82" s="313"/>
      <c r="X82" s="313"/>
      <c r="Y82" s="313"/>
      <c r="Z82" s="304"/>
      <c r="AA82" s="318"/>
      <c r="AB82" s="304"/>
      <c r="AC82" s="304"/>
      <c r="AD82" s="304"/>
    </row>
    <row r="83" spans="1:30" s="174" customFormat="1">
      <c r="A83" s="255" t="s">
        <v>212</v>
      </c>
      <c r="B83" s="255"/>
      <c r="C83" s="255"/>
      <c r="D83" s="255"/>
      <c r="E83" s="255"/>
      <c r="F83" s="255"/>
      <c r="G83" s="255"/>
      <c r="H83" s="255"/>
      <c r="I83" s="255"/>
      <c r="J83" s="255"/>
      <c r="K83" s="255"/>
      <c r="L83" s="255"/>
      <c r="M83" s="314"/>
      <c r="N83" s="314"/>
      <c r="O83" s="314"/>
      <c r="P83" s="314"/>
      <c r="Q83" s="314"/>
      <c r="R83" s="314"/>
      <c r="S83" s="314"/>
      <c r="T83" s="314"/>
      <c r="U83" s="314"/>
      <c r="V83" s="314"/>
      <c r="W83" s="313"/>
      <c r="X83" s="313"/>
      <c r="Y83" s="313"/>
      <c r="Z83" s="304"/>
      <c r="AA83" s="318"/>
      <c r="AB83" s="304"/>
      <c r="AC83" s="304"/>
      <c r="AD83" s="304"/>
    </row>
    <row r="84" spans="1:30" s="174" customFormat="1">
      <c r="A84" s="24"/>
      <c r="B84" s="25"/>
      <c r="C84" s="26"/>
      <c r="D84" s="27"/>
      <c r="G84" s="177"/>
      <c r="H84" s="177"/>
      <c r="I84" s="28"/>
      <c r="J84" s="29"/>
      <c r="K84" s="30"/>
      <c r="L84" s="177"/>
      <c r="M84" s="314"/>
      <c r="N84" s="314"/>
      <c r="O84" s="314"/>
      <c r="P84" s="314"/>
      <c r="Q84" s="314"/>
      <c r="R84" s="314"/>
      <c r="S84" s="314"/>
      <c r="T84" s="314"/>
      <c r="U84" s="314"/>
      <c r="V84" s="314"/>
      <c r="W84" s="313"/>
      <c r="X84" s="313"/>
      <c r="Y84" s="313"/>
      <c r="Z84" s="304"/>
      <c r="AA84" s="318"/>
      <c r="AB84" s="304"/>
      <c r="AC84" s="304"/>
      <c r="AD84" s="304"/>
    </row>
    <row r="85" spans="1:30" s="174" customFormat="1">
      <c r="A85" s="24"/>
      <c r="B85" s="25"/>
      <c r="C85" s="26"/>
      <c r="D85" s="27"/>
      <c r="G85" s="177"/>
      <c r="H85" s="177"/>
      <c r="I85" s="28"/>
      <c r="J85" s="29"/>
      <c r="K85" s="30"/>
      <c r="L85" s="177"/>
      <c r="M85" s="314"/>
      <c r="N85" s="314"/>
      <c r="O85" s="314"/>
      <c r="P85" s="314"/>
      <c r="Q85" s="314"/>
      <c r="R85" s="314"/>
      <c r="S85" s="314"/>
      <c r="T85" s="314"/>
      <c r="U85" s="314"/>
      <c r="V85" s="314"/>
      <c r="W85" s="313"/>
      <c r="X85" s="313"/>
      <c r="Y85" s="313"/>
      <c r="Z85" s="304"/>
      <c r="AA85" s="318"/>
      <c r="AB85" s="304"/>
      <c r="AC85" s="304"/>
      <c r="AD85" s="304"/>
    </row>
    <row r="86" spans="1:30" s="174" customFormat="1">
      <c r="A86" s="24"/>
      <c r="B86" s="178" t="s">
        <v>130</v>
      </c>
      <c r="C86" s="178"/>
      <c r="D86" s="178" t="s">
        <v>131</v>
      </c>
      <c r="G86" s="177"/>
      <c r="H86" s="177"/>
      <c r="I86" s="28"/>
      <c r="J86" s="29"/>
      <c r="K86" s="30"/>
      <c r="L86" s="177"/>
      <c r="M86" s="313"/>
      <c r="N86" s="313"/>
      <c r="O86" s="313"/>
      <c r="P86" s="313"/>
      <c r="Q86" s="313"/>
      <c r="R86" s="313"/>
      <c r="S86" s="313"/>
      <c r="T86" s="313"/>
      <c r="U86" s="313"/>
      <c r="V86" s="314"/>
      <c r="W86" s="313"/>
      <c r="X86" s="313"/>
      <c r="Y86" s="313"/>
      <c r="Z86" s="304"/>
      <c r="AA86" s="318"/>
      <c r="AB86" s="304"/>
      <c r="AC86" s="304"/>
      <c r="AD86" s="304"/>
    </row>
    <row r="87" spans="1:30" s="174" customFormat="1">
      <c r="A87" s="24"/>
      <c r="B87" s="178"/>
      <c r="C87" s="178"/>
      <c r="D87" s="178"/>
      <c r="G87" s="177"/>
      <c r="H87" s="177"/>
      <c r="I87" s="28"/>
      <c r="J87" s="29"/>
      <c r="K87" s="30"/>
      <c r="L87" s="177"/>
      <c r="M87" s="313"/>
      <c r="N87" s="313"/>
      <c r="O87" s="313"/>
      <c r="P87" s="313"/>
      <c r="Q87" s="313"/>
      <c r="R87" s="313"/>
      <c r="S87" s="313"/>
      <c r="T87" s="313"/>
      <c r="U87" s="313"/>
      <c r="V87" s="314"/>
      <c r="W87" s="313"/>
      <c r="X87" s="313"/>
      <c r="Y87" s="313"/>
      <c r="Z87" s="304"/>
      <c r="AA87" s="318"/>
      <c r="AB87" s="304"/>
      <c r="AC87" s="304"/>
      <c r="AD87" s="304"/>
    </row>
    <row r="88" spans="1:30" s="174" customFormat="1">
      <c r="A88" s="24"/>
      <c r="B88" s="178" t="s">
        <v>132</v>
      </c>
      <c r="C88" s="178"/>
      <c r="D88" s="178"/>
      <c r="G88" s="177"/>
      <c r="H88" s="177"/>
      <c r="I88" s="28"/>
      <c r="J88" s="29"/>
      <c r="K88" s="30"/>
      <c r="L88" s="177"/>
      <c r="M88" s="313"/>
      <c r="N88" s="313"/>
      <c r="O88" s="313"/>
      <c r="P88" s="313"/>
      <c r="Q88" s="313"/>
      <c r="R88" s="313"/>
      <c r="S88" s="313"/>
      <c r="T88" s="313"/>
      <c r="U88" s="313"/>
      <c r="V88" s="314"/>
      <c r="W88" s="313"/>
      <c r="X88" s="313"/>
      <c r="Y88" s="313"/>
      <c r="Z88" s="304"/>
      <c r="AA88" s="318"/>
      <c r="AB88" s="304"/>
      <c r="AC88" s="304"/>
      <c r="AD88" s="304"/>
    </row>
    <row r="89" spans="1:30" s="174" customFormat="1">
      <c r="A89" s="24"/>
      <c r="B89" s="178"/>
      <c r="C89" s="178"/>
      <c r="D89" s="178"/>
      <c r="G89" s="177"/>
      <c r="H89" s="177"/>
      <c r="I89" s="28"/>
      <c r="J89" s="29"/>
      <c r="K89" s="30"/>
      <c r="L89" s="177"/>
      <c r="M89" s="313"/>
      <c r="N89" s="313"/>
      <c r="O89" s="313"/>
      <c r="P89" s="313"/>
      <c r="Q89" s="313"/>
      <c r="R89" s="313"/>
      <c r="S89" s="313"/>
      <c r="T89" s="313"/>
      <c r="U89" s="313"/>
      <c r="V89" s="314"/>
      <c r="W89" s="313"/>
      <c r="X89" s="313"/>
      <c r="Y89" s="313"/>
      <c r="Z89" s="304"/>
      <c r="AA89" s="318"/>
      <c r="AB89" s="304"/>
      <c r="AC89" s="304"/>
      <c r="AD89" s="304"/>
    </row>
    <row r="90" spans="1:30" s="174" customFormat="1">
      <c r="A90" s="24"/>
      <c r="B90" s="178" t="s">
        <v>254</v>
      </c>
      <c r="C90" s="178"/>
      <c r="D90" s="178" t="s">
        <v>253</v>
      </c>
      <c r="G90" s="177"/>
      <c r="H90" s="177"/>
      <c r="I90" s="28"/>
      <c r="J90" s="29"/>
      <c r="K90" s="30"/>
      <c r="L90" s="177"/>
      <c r="M90" s="313"/>
      <c r="N90" s="313"/>
      <c r="O90" s="313"/>
      <c r="P90" s="313"/>
      <c r="Q90" s="313"/>
      <c r="R90" s="313"/>
      <c r="S90" s="313"/>
      <c r="T90" s="313"/>
      <c r="U90" s="313"/>
      <c r="V90" s="314"/>
      <c r="W90" s="313"/>
      <c r="X90" s="313"/>
      <c r="Y90" s="313"/>
      <c r="Z90" s="304"/>
      <c r="AA90" s="318"/>
      <c r="AB90" s="304"/>
      <c r="AC90" s="304"/>
      <c r="AD90" s="304"/>
    </row>
    <row r="91" spans="1:30" s="174" customFormat="1">
      <c r="A91" s="24"/>
      <c r="B91" s="178"/>
      <c r="C91" s="178"/>
      <c r="D91" s="178"/>
      <c r="G91" s="177"/>
      <c r="H91" s="177"/>
      <c r="I91" s="28"/>
      <c r="J91" s="29"/>
      <c r="L91" s="177"/>
      <c r="M91" s="313"/>
      <c r="N91" s="313"/>
      <c r="O91" s="313"/>
      <c r="P91" s="313"/>
      <c r="Q91" s="313"/>
      <c r="R91" s="313"/>
      <c r="S91" s="313"/>
      <c r="T91" s="313"/>
      <c r="U91" s="313"/>
      <c r="V91" s="314"/>
      <c r="W91" s="313"/>
      <c r="X91" s="313"/>
      <c r="Y91" s="313"/>
      <c r="Z91" s="304"/>
      <c r="AA91" s="318"/>
      <c r="AB91" s="304"/>
      <c r="AC91" s="304"/>
      <c r="AD91" s="304"/>
    </row>
    <row r="92" spans="1:30" s="174" customFormat="1">
      <c r="A92" s="178"/>
      <c r="B92" s="4" t="s">
        <v>255</v>
      </c>
      <c r="C92" s="178"/>
      <c r="D92" s="178" t="s">
        <v>256</v>
      </c>
      <c r="E92" s="178"/>
      <c r="F92" s="178"/>
      <c r="G92" s="178"/>
      <c r="H92" s="178"/>
      <c r="I92" s="178"/>
      <c r="J92" s="178"/>
      <c r="K92" s="178"/>
      <c r="L92" s="178"/>
      <c r="M92" s="304"/>
      <c r="N92" s="304"/>
      <c r="O92" s="304"/>
      <c r="P92" s="304"/>
      <c r="Q92" s="304"/>
      <c r="R92" s="304"/>
      <c r="S92" s="304"/>
      <c r="T92" s="304"/>
      <c r="U92" s="304"/>
      <c r="V92" s="314"/>
      <c r="W92" s="313"/>
      <c r="X92" s="313"/>
      <c r="Y92" s="313"/>
      <c r="Z92" s="304"/>
      <c r="AA92" s="318"/>
      <c r="AB92" s="304"/>
      <c r="AC92" s="304"/>
      <c r="AD92" s="304"/>
    </row>
    <row r="93" spans="1:30" s="174" customFormat="1">
      <c r="A93" s="178"/>
      <c r="B93" s="9"/>
      <c r="C93" s="178"/>
      <c r="D93" s="178"/>
      <c r="E93" s="178"/>
      <c r="F93" s="178"/>
      <c r="G93" s="178"/>
      <c r="H93" s="178"/>
      <c r="I93" s="178"/>
      <c r="J93" s="178"/>
      <c r="K93" s="178"/>
      <c r="L93" s="178"/>
      <c r="M93" s="304"/>
      <c r="N93" s="304"/>
      <c r="O93" s="304"/>
      <c r="P93" s="304"/>
      <c r="Q93" s="304"/>
      <c r="R93" s="304"/>
      <c r="S93" s="304"/>
      <c r="T93" s="304"/>
      <c r="U93" s="304"/>
      <c r="V93" s="314"/>
      <c r="W93" s="313"/>
      <c r="X93" s="313"/>
      <c r="Y93" s="313"/>
      <c r="Z93" s="304"/>
      <c r="AA93" s="318"/>
      <c r="AB93" s="304"/>
      <c r="AC93" s="304"/>
      <c r="AD93" s="304"/>
    </row>
    <row r="94" spans="1:30" s="174" customFormat="1">
      <c r="A94" s="178"/>
      <c r="B94" s="178"/>
      <c r="C94" s="178"/>
      <c r="D94" s="178"/>
      <c r="E94" s="178"/>
      <c r="F94" s="178"/>
      <c r="G94" s="178"/>
      <c r="H94" s="178"/>
      <c r="I94" s="178"/>
      <c r="J94" s="178"/>
      <c r="K94" s="178"/>
      <c r="L94" s="178"/>
      <c r="M94" s="304"/>
      <c r="N94" s="304"/>
      <c r="O94" s="304"/>
      <c r="P94" s="304"/>
      <c r="Q94" s="304"/>
      <c r="R94" s="304"/>
      <c r="S94" s="304"/>
      <c r="T94" s="304"/>
      <c r="U94" s="304"/>
      <c r="V94" s="314"/>
      <c r="W94" s="313"/>
      <c r="X94" s="313"/>
      <c r="Y94" s="313"/>
      <c r="Z94" s="304"/>
      <c r="AA94" s="318"/>
      <c r="AB94" s="304"/>
      <c r="AC94" s="304"/>
      <c r="AD94" s="304"/>
    </row>
    <row r="95" spans="1:30" s="174" customFormat="1">
      <c r="A95" s="178"/>
      <c r="B95" s="178"/>
      <c r="C95" s="178"/>
      <c r="D95" s="178"/>
      <c r="E95" s="178"/>
      <c r="F95" s="178"/>
      <c r="G95" s="178"/>
      <c r="H95" s="178"/>
      <c r="I95" s="178"/>
      <c r="J95" s="178"/>
      <c r="K95" s="178"/>
      <c r="L95" s="178"/>
      <c r="M95" s="304"/>
      <c r="N95" s="304"/>
      <c r="O95" s="304"/>
      <c r="P95" s="304"/>
      <c r="Q95" s="304"/>
      <c r="R95" s="304"/>
      <c r="S95" s="304"/>
      <c r="T95" s="304"/>
      <c r="U95" s="304"/>
      <c r="V95" s="313"/>
      <c r="W95" s="313"/>
      <c r="X95" s="313"/>
      <c r="Y95" s="313"/>
      <c r="Z95" s="304"/>
      <c r="AA95" s="304"/>
      <c r="AB95" s="304"/>
      <c r="AC95" s="304"/>
      <c r="AD95" s="304"/>
    </row>
    <row r="96" spans="1:30" s="174" customFormat="1">
      <c r="A96" s="178"/>
      <c r="B96" s="178"/>
      <c r="C96" s="178"/>
      <c r="D96" s="178"/>
      <c r="E96" s="178"/>
      <c r="F96" s="178"/>
      <c r="G96" s="178"/>
      <c r="H96" s="178"/>
      <c r="I96" s="178"/>
      <c r="J96" s="178"/>
      <c r="K96" s="178"/>
      <c r="L96" s="178"/>
      <c r="M96" s="304"/>
      <c r="N96" s="304"/>
      <c r="O96" s="304"/>
      <c r="P96" s="304"/>
      <c r="Q96" s="304"/>
      <c r="R96" s="304"/>
      <c r="S96" s="304"/>
      <c r="T96" s="304"/>
      <c r="U96" s="304"/>
      <c r="V96" s="313"/>
      <c r="W96" s="313"/>
      <c r="X96" s="313"/>
      <c r="Y96" s="313" t="str">
        <f>+F10</f>
        <v>"ВЛ-04кВ  от  КТП-8-561 на Байдоново" (дисп. Наименование ВЛ-0,4кВ от КТП-8-561/100 фидер № 1)</v>
      </c>
      <c r="Z96" s="304"/>
      <c r="AA96" s="304" t="s">
        <v>116</v>
      </c>
      <c r="AB96" s="304" t="s">
        <v>116</v>
      </c>
      <c r="AC96" s="304" t="s">
        <v>107</v>
      </c>
      <c r="AD96" s="304"/>
    </row>
    <row r="97" spans="1:30" s="174" customFormat="1" ht="25.5">
      <c r="A97" s="178"/>
      <c r="B97" s="178"/>
      <c r="C97" s="178"/>
      <c r="D97" s="178"/>
      <c r="E97" s="178"/>
      <c r="F97" s="178"/>
      <c r="G97" s="178"/>
      <c r="H97" s="178"/>
      <c r="I97" s="178"/>
      <c r="J97" s="178"/>
      <c r="K97" s="178"/>
      <c r="L97" s="178"/>
      <c r="M97" s="304"/>
      <c r="N97" s="304"/>
      <c r="O97" s="304"/>
      <c r="P97" s="304"/>
      <c r="Q97" s="304"/>
      <c r="R97" s="304"/>
      <c r="S97" s="304"/>
      <c r="T97" s="304"/>
      <c r="U97" s="304"/>
      <c r="V97" s="313"/>
      <c r="W97" s="313"/>
      <c r="X97" s="313"/>
      <c r="Y97" s="322" t="s">
        <v>99</v>
      </c>
      <c r="Z97" s="322" t="e">
        <f>+#REF!</f>
        <v>#REF!</v>
      </c>
      <c r="AA97" s="304">
        <v>9.6300000000000008</v>
      </c>
      <c r="AB97" s="304" t="e">
        <f>+Z97*AA97</f>
        <v>#REF!</v>
      </c>
      <c r="AC97" s="304" t="e">
        <f>+SUM(#REF!)</f>
        <v>#REF!</v>
      </c>
      <c r="AD97" s="304" t="e">
        <f>+ROUNDUP(AC97/1000,1)</f>
        <v>#REF!</v>
      </c>
    </row>
    <row r="98" spans="1:30" s="174" customFormat="1" ht="25.5">
      <c r="A98" s="178"/>
      <c r="B98" s="178"/>
      <c r="C98" s="178"/>
      <c r="D98" s="178"/>
      <c r="E98" s="178"/>
      <c r="F98" s="178"/>
      <c r="G98" s="178"/>
      <c r="H98" s="178"/>
      <c r="I98" s="178"/>
      <c r="J98" s="178"/>
      <c r="K98" s="178"/>
      <c r="L98" s="178"/>
      <c r="M98" s="304"/>
      <c r="N98" s="304"/>
      <c r="O98" s="304"/>
      <c r="P98" s="304"/>
      <c r="Q98" s="304"/>
      <c r="R98" s="304"/>
      <c r="S98" s="304"/>
      <c r="T98" s="304"/>
      <c r="U98" s="304"/>
      <c r="V98" s="313"/>
      <c r="W98" s="313"/>
      <c r="X98" s="313"/>
      <c r="Y98" s="322" t="s">
        <v>100</v>
      </c>
      <c r="Z98" s="322" t="e">
        <f>+#REF!+#REF!</f>
        <v>#REF!</v>
      </c>
      <c r="AA98" s="304">
        <v>5.36</v>
      </c>
      <c r="AB98" s="304" t="e">
        <f t="shared" ref="AB98:AB103" si="20">+Z98*AA98</f>
        <v>#REF!</v>
      </c>
      <c r="AC98" s="304" t="e">
        <f>+SUM(#REF!)</f>
        <v>#REF!</v>
      </c>
      <c r="AD98" s="304" t="e">
        <f t="shared" ref="AD98:AD103" si="21">+ROUNDUP(AC98/1000,1)</f>
        <v>#REF!</v>
      </c>
    </row>
    <row r="99" spans="1:30" s="174" customFormat="1">
      <c r="A99" s="178"/>
      <c r="B99" s="178"/>
      <c r="C99" s="178"/>
      <c r="D99" s="178"/>
      <c r="E99" s="178"/>
      <c r="F99" s="178"/>
      <c r="G99" s="178"/>
      <c r="H99" s="178"/>
      <c r="I99" s="178"/>
      <c r="J99" s="178"/>
      <c r="K99" s="178"/>
      <c r="L99" s="178"/>
      <c r="M99" s="304"/>
      <c r="N99" s="304"/>
      <c r="O99" s="304"/>
      <c r="P99" s="304"/>
      <c r="Q99" s="304"/>
      <c r="R99" s="304"/>
      <c r="S99" s="304"/>
      <c r="T99" s="304"/>
      <c r="U99" s="304"/>
      <c r="V99" s="313"/>
      <c r="W99" s="313"/>
      <c r="X99" s="313"/>
      <c r="Y99" s="322" t="s">
        <v>102</v>
      </c>
      <c r="Z99" s="322" t="e">
        <f>+#REF!</f>
        <v>#REF!</v>
      </c>
      <c r="AA99" s="304">
        <v>1</v>
      </c>
      <c r="AB99" s="304" t="e">
        <f t="shared" si="20"/>
        <v>#REF!</v>
      </c>
      <c r="AC99" s="304" t="e">
        <f>+SUM(#REF!)</f>
        <v>#REF!</v>
      </c>
      <c r="AD99" s="304" t="e">
        <f t="shared" si="21"/>
        <v>#REF!</v>
      </c>
    </row>
    <row r="100" spans="1:30" s="174" customFormat="1" ht="25.5">
      <c r="A100" s="178"/>
      <c r="B100" s="178"/>
      <c r="C100" s="178"/>
      <c r="D100" s="178"/>
      <c r="E100" s="178"/>
      <c r="F100" s="178"/>
      <c r="G100" s="178"/>
      <c r="H100" s="178"/>
      <c r="I100" s="178"/>
      <c r="J100" s="178"/>
      <c r="K100" s="178"/>
      <c r="L100" s="178"/>
      <c r="M100" s="304"/>
      <c r="N100" s="304"/>
      <c r="O100" s="304"/>
      <c r="P100" s="304"/>
      <c r="Q100" s="304"/>
      <c r="R100" s="304"/>
      <c r="S100" s="304"/>
      <c r="T100" s="304"/>
      <c r="U100" s="304"/>
      <c r="V100" s="313"/>
      <c r="W100" s="313"/>
      <c r="X100" s="304"/>
      <c r="Y100" s="322" t="s">
        <v>101</v>
      </c>
      <c r="Z100" s="322" t="e">
        <f>+#REF!</f>
        <v>#REF!</v>
      </c>
      <c r="AA100" s="304">
        <v>1.08</v>
      </c>
      <c r="AB100" s="304" t="e">
        <f t="shared" si="20"/>
        <v>#REF!</v>
      </c>
      <c r="AC100" s="304" t="e">
        <f>+SUM(#REF!)</f>
        <v>#REF!</v>
      </c>
      <c r="AD100" s="304" t="e">
        <f t="shared" si="21"/>
        <v>#REF!</v>
      </c>
    </row>
    <row r="101" spans="1:30" ht="25.5">
      <c r="Y101" s="322" t="s">
        <v>103</v>
      </c>
      <c r="Z101" s="322" t="e">
        <f>+#REF!</f>
        <v>#REF!</v>
      </c>
      <c r="AA101" s="304">
        <v>2</v>
      </c>
      <c r="AB101" s="304" t="e">
        <f t="shared" si="20"/>
        <v>#REF!</v>
      </c>
      <c r="AC101" s="304" t="e">
        <f>+SUM(#REF!)</f>
        <v>#REF!</v>
      </c>
      <c r="AD101" s="304" t="e">
        <f t="shared" si="21"/>
        <v>#REF!</v>
      </c>
    </row>
    <row r="102" spans="1:30">
      <c r="Y102" s="322" t="s">
        <v>104</v>
      </c>
      <c r="Z102" s="322" t="e">
        <f>+#REF!</f>
        <v>#REF!</v>
      </c>
      <c r="AA102" s="304">
        <v>2.08</v>
      </c>
      <c r="AB102" s="304" t="e">
        <f t="shared" si="20"/>
        <v>#REF!</v>
      </c>
      <c r="AC102" s="304" t="e">
        <f>+SUM(#REF!)</f>
        <v>#REF!</v>
      </c>
      <c r="AD102" s="304" t="e">
        <f t="shared" si="21"/>
        <v>#REF!</v>
      </c>
    </row>
    <row r="103" spans="1:30">
      <c r="Y103" s="322" t="s">
        <v>105</v>
      </c>
      <c r="Z103" s="323" t="e">
        <f>+#REF!</f>
        <v>#REF!</v>
      </c>
      <c r="AA103" s="304">
        <v>36.6</v>
      </c>
      <c r="AB103" s="304" t="e">
        <f t="shared" si="20"/>
        <v>#REF!</v>
      </c>
      <c r="AC103" s="304" t="e">
        <f>+SUM(#REF!)+SUM(#REF!)</f>
        <v>#REF!</v>
      </c>
      <c r="AD103" s="304" t="e">
        <f t="shared" si="21"/>
        <v>#REF!</v>
      </c>
    </row>
    <row r="104" spans="1:30">
      <c r="AB104" s="304" t="e">
        <f>SUM(AB97:AB103)</f>
        <v>#REF!</v>
      </c>
      <c r="AC104" s="304" t="e">
        <f>SUM(AC97:AC103)</f>
        <v>#REF!</v>
      </c>
    </row>
    <row r="105" spans="1:30">
      <c r="AC105" s="324" t="e">
        <f>+#REF!-AC104</f>
        <v>#REF!</v>
      </c>
    </row>
  </sheetData>
  <mergeCells count="75">
    <mergeCell ref="A9:L9"/>
    <mergeCell ref="A7:L7"/>
    <mergeCell ref="A8:L8"/>
    <mergeCell ref="J1:L1"/>
    <mergeCell ref="J2:L2"/>
    <mergeCell ref="I3:L3"/>
    <mergeCell ref="H44:H46"/>
    <mergeCell ref="A47:L47"/>
    <mergeCell ref="G52:G55"/>
    <mergeCell ref="H52:H55"/>
    <mergeCell ref="A52:A55"/>
    <mergeCell ref="B52:B55"/>
    <mergeCell ref="C52:C55"/>
    <mergeCell ref="D52:D55"/>
    <mergeCell ref="E52:E55"/>
    <mergeCell ref="H49:H50"/>
    <mergeCell ref="F49:F50"/>
    <mergeCell ref="G49:G50"/>
    <mergeCell ref="D35:D42"/>
    <mergeCell ref="F52:F55"/>
    <mergeCell ref="F44:F46"/>
    <mergeCell ref="A49:A50"/>
    <mergeCell ref="B49:B50"/>
    <mergeCell ref="C49:C50"/>
    <mergeCell ref="D49:D50"/>
    <mergeCell ref="E49:E50"/>
    <mergeCell ref="A44:A46"/>
    <mergeCell ref="B44:B46"/>
    <mergeCell ref="C44:C46"/>
    <mergeCell ref="D44:D46"/>
    <mergeCell ref="E44:E46"/>
    <mergeCell ref="A83:L83"/>
    <mergeCell ref="A56:L56"/>
    <mergeCell ref="A58:A59"/>
    <mergeCell ref="B58:B59"/>
    <mergeCell ref="C58:C59"/>
    <mergeCell ref="D58:D59"/>
    <mergeCell ref="E58:E59"/>
    <mergeCell ref="F58:F59"/>
    <mergeCell ref="G58:G59"/>
    <mergeCell ref="H58:H59"/>
    <mergeCell ref="A60:L60"/>
    <mergeCell ref="B61:L61"/>
    <mergeCell ref="B64:L64"/>
    <mergeCell ref="B67:L67"/>
    <mergeCell ref="B70:L70"/>
    <mergeCell ref="A19:A20"/>
    <mergeCell ref="B19:B20"/>
    <mergeCell ref="C19:C20"/>
    <mergeCell ref="D19:D20"/>
    <mergeCell ref="G44:G46"/>
    <mergeCell ref="C28:C34"/>
    <mergeCell ref="D28:D34"/>
    <mergeCell ref="A22:A27"/>
    <mergeCell ref="B22:B27"/>
    <mergeCell ref="C22:C27"/>
    <mergeCell ref="D22:D27"/>
    <mergeCell ref="A28:A34"/>
    <mergeCell ref="B28:B34"/>
    <mergeCell ref="A35:A42"/>
    <mergeCell ref="B35:B42"/>
    <mergeCell ref="C35:C42"/>
    <mergeCell ref="A17:A18"/>
    <mergeCell ref="B17:B18"/>
    <mergeCell ref="C17:C18"/>
    <mergeCell ref="D17:D18"/>
    <mergeCell ref="A15:A16"/>
    <mergeCell ref="B15:B16"/>
    <mergeCell ref="C15:C16"/>
    <mergeCell ref="D15:D16"/>
    <mergeCell ref="K10:L10"/>
    <mergeCell ref="O12:Q12"/>
    <mergeCell ref="M13:N13"/>
    <mergeCell ref="P13:Q13"/>
    <mergeCell ref="R13:U13"/>
  </mergeCells>
  <dataValidations count="1">
    <dataValidation type="list" allowBlank="1" showInputMessage="1" showErrorMessage="1" sqref="I59 I21:I57">
      <formula1>материалы</formula1>
    </dataValidation>
  </dataValidations>
  <pageMargins left="0.7" right="0.7" top="0.75" bottom="0.75" header="0.3" footer="0.3"/>
  <pageSetup paperSize="9" scale="4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107"/>
  <sheetViews>
    <sheetView tabSelected="1" view="pageBreakPreview" zoomScale="90" zoomScaleNormal="80" zoomScaleSheetLayoutView="90" workbookViewId="0">
      <selection sqref="A1:XFD9"/>
    </sheetView>
  </sheetViews>
  <sheetFormatPr defaultRowHeight="12.75" outlineLevelRow="1"/>
  <cols>
    <col min="1" max="1" width="7.5703125" style="178" customWidth="1"/>
    <col min="2" max="2" width="30.140625" style="178" customWidth="1"/>
    <col min="3" max="3" width="7.5703125" style="178" customWidth="1"/>
    <col min="4" max="4" width="9.28515625" style="178" customWidth="1"/>
    <col min="5" max="5" width="30" style="178" customWidth="1"/>
    <col min="6" max="6" width="8.140625" style="178" bestFit="1" customWidth="1"/>
    <col min="7" max="7" width="11" style="178" bestFit="1" customWidth="1"/>
    <col min="8" max="8" width="11.140625" style="178" customWidth="1"/>
    <col min="9" max="9" width="60.28515625" style="178" customWidth="1"/>
    <col min="10" max="10" width="10.140625" style="178" customWidth="1"/>
    <col min="11" max="11" width="8.7109375" style="178" customWidth="1"/>
    <col min="12" max="12" width="13.42578125" style="178" customWidth="1"/>
    <col min="13" max="13" width="6.28515625" style="304" bestFit="1" customWidth="1"/>
    <col min="14" max="14" width="7" style="304" bestFit="1" customWidth="1"/>
    <col min="15" max="15" width="13.28515625" style="304" bestFit="1" customWidth="1"/>
    <col min="16" max="16" width="9.42578125" style="304" customWidth="1"/>
    <col min="17" max="17" width="10.42578125" style="304" customWidth="1"/>
    <col min="18" max="18" width="10.5703125" style="304" bestFit="1" customWidth="1"/>
    <col min="19" max="19" width="7.5703125" style="304" customWidth="1"/>
    <col min="20" max="20" width="6" style="304" bestFit="1" customWidth="1"/>
    <col min="21" max="21" width="6.5703125" style="304" customWidth="1"/>
    <col min="22" max="22" width="45.42578125" style="304" customWidth="1"/>
    <col min="23" max="23" width="10.42578125" style="304" bestFit="1" customWidth="1"/>
    <col min="24" max="24" width="9.28515625" style="304" bestFit="1" customWidth="1"/>
    <col min="25" max="25" width="59.28515625" style="304" customWidth="1"/>
    <col min="26" max="26" width="10.5703125" style="304" bestFit="1" customWidth="1"/>
    <col min="27" max="27" width="14" style="304" customWidth="1"/>
    <col min="28" max="29" width="10.5703125" style="304" bestFit="1" customWidth="1"/>
    <col min="30" max="16384" width="9.140625" style="178"/>
  </cols>
  <sheetData>
    <row r="1" spans="1:30" s="282" customFormat="1" ht="25.5" customHeight="1">
      <c r="B1" s="283"/>
      <c r="J1" s="291" t="s">
        <v>0</v>
      </c>
      <c r="K1" s="291"/>
      <c r="L1" s="291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302"/>
      <c r="Z1" s="302"/>
      <c r="AA1" s="302"/>
      <c r="AB1" s="302"/>
      <c r="AC1" s="302"/>
      <c r="AD1" s="302"/>
    </row>
    <row r="2" spans="1:30" s="282" customFormat="1" ht="30" customHeight="1">
      <c r="B2" s="285"/>
      <c r="E2" s="286"/>
      <c r="J2" s="291" t="s">
        <v>330</v>
      </c>
      <c r="K2" s="291"/>
      <c r="L2" s="291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3" t="s">
        <v>77</v>
      </c>
      <c r="Z2" s="302">
        <v>1591</v>
      </c>
      <c r="AA2" s="302"/>
      <c r="AB2" s="302"/>
      <c r="AC2" s="302"/>
      <c r="AD2" s="302"/>
    </row>
    <row r="3" spans="1:30" s="282" customFormat="1" ht="29.25" customHeight="1">
      <c r="B3" s="283"/>
      <c r="I3" s="290" t="s">
        <v>332</v>
      </c>
      <c r="J3" s="290"/>
      <c r="K3" s="290"/>
      <c r="L3" s="290"/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/>
      <c r="Y3" s="302"/>
      <c r="Z3" s="302"/>
      <c r="AA3" s="302"/>
      <c r="AB3" s="302"/>
      <c r="AC3" s="302"/>
      <c r="AD3" s="302"/>
    </row>
    <row r="4" spans="1:30" s="282" customFormat="1" ht="24" customHeight="1">
      <c r="B4" s="285"/>
      <c r="J4" s="287" t="s">
        <v>331</v>
      </c>
      <c r="K4" s="287"/>
      <c r="L4" s="284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2"/>
      <c r="AD4" s="302"/>
    </row>
    <row r="5" spans="1:30" s="282" customFormat="1" ht="15">
      <c r="B5" s="285"/>
      <c r="J5" s="287"/>
      <c r="K5" s="287"/>
      <c r="L5" s="284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</row>
    <row r="6" spans="1:30" s="282" customFormat="1" ht="15">
      <c r="B6" s="285"/>
      <c r="J6" s="287"/>
      <c r="K6" s="287"/>
      <c r="L6" s="284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</row>
    <row r="7" spans="1:30" s="232" customFormat="1" ht="18">
      <c r="A7" s="288" t="s">
        <v>1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04"/>
      <c r="Y7" s="304"/>
      <c r="Z7" s="304"/>
      <c r="AA7" s="304"/>
      <c r="AB7" s="304"/>
      <c r="AC7" s="304"/>
      <c r="AD7" s="304"/>
    </row>
    <row r="8" spans="1:30" s="232" customFormat="1" ht="18">
      <c r="A8" s="289" t="s">
        <v>17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304"/>
      <c r="N8" s="304"/>
      <c r="O8" s="304"/>
      <c r="P8" s="304"/>
      <c r="Q8" s="304"/>
      <c r="R8" s="304"/>
      <c r="S8" s="304"/>
      <c r="T8" s="304"/>
      <c r="U8" s="304"/>
      <c r="V8" s="304"/>
      <c r="W8" s="304"/>
      <c r="X8" s="304"/>
      <c r="Y8" s="304"/>
      <c r="Z8" s="304"/>
      <c r="AA8" s="304"/>
      <c r="AB8" s="304"/>
      <c r="AC8" s="304"/>
      <c r="AD8" s="304"/>
    </row>
    <row r="9" spans="1:30" ht="18.75" customHeight="1" thickBot="1">
      <c r="A9" s="292" t="s">
        <v>2</v>
      </c>
      <c r="B9" s="292"/>
      <c r="C9" s="292"/>
      <c r="D9" s="292"/>
      <c r="E9" s="292"/>
      <c r="F9" s="292"/>
      <c r="G9" s="292"/>
      <c r="H9" s="292"/>
      <c r="I9" s="292"/>
      <c r="J9" s="292"/>
      <c r="K9" s="292"/>
      <c r="L9" s="292"/>
    </row>
    <row r="10" spans="1:30" ht="18.75" thickBot="1">
      <c r="B10" s="44"/>
      <c r="C10" s="44"/>
      <c r="D10" s="44"/>
      <c r="E10" s="44"/>
      <c r="F10" s="44" t="s">
        <v>257</v>
      </c>
      <c r="G10" s="44"/>
      <c r="H10" s="44"/>
      <c r="I10" s="44"/>
      <c r="J10" s="95" t="s">
        <v>140</v>
      </c>
      <c r="K10" s="235">
        <v>6000200396</v>
      </c>
      <c r="L10" s="236"/>
      <c r="M10" s="305"/>
      <c r="N10" s="305"/>
      <c r="O10" s="305"/>
      <c r="P10" s="305"/>
      <c r="Q10" s="305"/>
      <c r="R10" s="305"/>
      <c r="S10" s="305"/>
      <c r="T10" s="305"/>
      <c r="U10" s="305"/>
      <c r="V10" s="305"/>
    </row>
    <row r="11" spans="1:30">
      <c r="A11" s="45" t="s">
        <v>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30" ht="25.5">
      <c r="A12" s="46" t="s">
        <v>4</v>
      </c>
      <c r="B12" s="46" t="s">
        <v>5</v>
      </c>
      <c r="C12" s="47" t="s">
        <v>6</v>
      </c>
      <c r="D12" s="48"/>
      <c r="E12" s="47" t="s">
        <v>7</v>
      </c>
      <c r="F12" s="49"/>
      <c r="G12" s="49"/>
      <c r="H12" s="48"/>
      <c r="I12" s="47" t="s">
        <v>8</v>
      </c>
      <c r="J12" s="49"/>
      <c r="K12" s="49"/>
      <c r="L12" s="49"/>
      <c r="M12" s="306"/>
      <c r="N12" s="306"/>
      <c r="O12" s="307" t="s">
        <v>162</v>
      </c>
      <c r="P12" s="307"/>
      <c r="Q12" s="307"/>
    </row>
    <row r="13" spans="1:30" ht="67.5">
      <c r="A13" s="50"/>
      <c r="B13" s="50"/>
      <c r="C13" s="5" t="s">
        <v>9</v>
      </c>
      <c r="D13" s="5" t="s">
        <v>10</v>
      </c>
      <c r="E13" s="5" t="s">
        <v>11</v>
      </c>
      <c r="F13" s="5" t="s">
        <v>9</v>
      </c>
      <c r="G13" s="5" t="s">
        <v>10</v>
      </c>
      <c r="H13" s="6" t="s">
        <v>12</v>
      </c>
      <c r="I13" s="5" t="s">
        <v>11</v>
      </c>
      <c r="J13" s="5" t="s">
        <v>9</v>
      </c>
      <c r="K13" s="5" t="s">
        <v>10</v>
      </c>
      <c r="L13" s="293" t="s">
        <v>13</v>
      </c>
      <c r="M13" s="308" t="s">
        <v>163</v>
      </c>
      <c r="N13" s="308"/>
      <c r="O13" s="309" t="s">
        <v>164</v>
      </c>
      <c r="P13" s="308" t="s">
        <v>165</v>
      </c>
      <c r="Q13" s="308"/>
      <c r="R13" s="308" t="s">
        <v>166</v>
      </c>
      <c r="S13" s="308"/>
      <c r="T13" s="308"/>
      <c r="U13" s="308"/>
      <c r="V13" s="309">
        <f>1000/30</f>
        <v>33.333333333333336</v>
      </c>
      <c r="W13" s="310"/>
      <c r="X13" s="310"/>
      <c r="Y13" s="310"/>
    </row>
    <row r="14" spans="1:30">
      <c r="A14" s="179">
        <v>1</v>
      </c>
      <c r="B14" s="179">
        <v>2</v>
      </c>
      <c r="C14" s="179">
        <v>3</v>
      </c>
      <c r="D14" s="179">
        <v>4</v>
      </c>
      <c r="E14" s="179">
        <v>5</v>
      </c>
      <c r="F14" s="179">
        <v>6</v>
      </c>
      <c r="G14" s="179">
        <v>7</v>
      </c>
      <c r="H14" s="179">
        <v>8</v>
      </c>
      <c r="I14" s="180">
        <v>9</v>
      </c>
      <c r="J14" s="180">
        <v>10</v>
      </c>
      <c r="K14" s="180">
        <v>11</v>
      </c>
      <c r="L14" s="294">
        <v>12</v>
      </c>
      <c r="M14" s="311" t="s">
        <v>167</v>
      </c>
      <c r="N14" s="311" t="s">
        <v>168</v>
      </c>
      <c r="O14" s="306"/>
      <c r="P14" s="306" t="s">
        <v>167</v>
      </c>
      <c r="Q14" s="306" t="s">
        <v>168</v>
      </c>
      <c r="R14" s="312">
        <v>1</v>
      </c>
      <c r="S14" s="312">
        <v>2</v>
      </c>
      <c r="T14" s="312">
        <v>3</v>
      </c>
      <c r="U14" s="312">
        <v>4</v>
      </c>
      <c r="V14" s="312"/>
      <c r="X14" s="313"/>
      <c r="Y14" s="313"/>
    </row>
    <row r="15" spans="1:30" ht="14.25" customHeight="1">
      <c r="A15" s="246">
        <v>1</v>
      </c>
      <c r="B15" s="248" t="s">
        <v>251</v>
      </c>
      <c r="C15" s="246" t="s">
        <v>250</v>
      </c>
      <c r="D15" s="246">
        <v>11</v>
      </c>
      <c r="E15" s="211" t="s">
        <v>252</v>
      </c>
      <c r="F15" s="206" t="s">
        <v>14</v>
      </c>
      <c r="G15" s="206">
        <f>D15*0.03*4</f>
        <v>1.3199999999999998</v>
      </c>
      <c r="H15" s="217" t="s">
        <v>228</v>
      </c>
      <c r="I15" s="206" t="s">
        <v>215</v>
      </c>
      <c r="J15" s="206" t="s">
        <v>215</v>
      </c>
      <c r="K15" s="206" t="s">
        <v>215</v>
      </c>
      <c r="L15" s="181" t="s">
        <v>215</v>
      </c>
      <c r="M15" s="306"/>
      <c r="N15" s="306"/>
      <c r="O15" s="306"/>
      <c r="V15" s="312">
        <f>411/18</f>
        <v>22.833333333333332</v>
      </c>
      <c r="X15" s="313"/>
      <c r="Y15" s="313"/>
    </row>
    <row r="16" spans="1:30" ht="48" customHeight="1">
      <c r="A16" s="247"/>
      <c r="B16" s="249"/>
      <c r="C16" s="247"/>
      <c r="D16" s="247"/>
      <c r="E16" s="211" t="s">
        <v>19</v>
      </c>
      <c r="F16" s="206" t="s">
        <v>15</v>
      </c>
      <c r="G16" s="206">
        <f>D15*4</f>
        <v>44</v>
      </c>
      <c r="H16" s="217" t="s">
        <v>228</v>
      </c>
      <c r="I16" s="206"/>
      <c r="J16" s="206"/>
      <c r="K16" s="206"/>
      <c r="L16" s="181"/>
      <c r="M16" s="306"/>
      <c r="N16" s="306"/>
      <c r="O16" s="306"/>
      <c r="V16" s="312"/>
      <c r="X16" s="313"/>
      <c r="Y16" s="313"/>
    </row>
    <row r="17" spans="1:29" ht="14.25" customHeight="1">
      <c r="A17" s="242">
        <v>2</v>
      </c>
      <c r="B17" s="270" t="s">
        <v>143</v>
      </c>
      <c r="C17" s="242" t="s">
        <v>15</v>
      </c>
      <c r="D17" s="242">
        <v>7</v>
      </c>
      <c r="E17" s="166" t="s">
        <v>18</v>
      </c>
      <c r="F17" s="204" t="s">
        <v>144</v>
      </c>
      <c r="G17" s="204">
        <f>D17*(0.5+0.4)</f>
        <v>6.3</v>
      </c>
      <c r="H17" s="204" t="s">
        <v>32</v>
      </c>
      <c r="I17" s="141"/>
      <c r="J17" s="204"/>
      <c r="K17" s="204"/>
      <c r="L17" s="295"/>
      <c r="M17" s="313">
        <v>1</v>
      </c>
      <c r="N17" s="313"/>
      <c r="O17" s="313">
        <v>600</v>
      </c>
      <c r="P17" s="313">
        <f t="shared" ref="P17:P20" si="0">O17*G17</f>
        <v>3780</v>
      </c>
      <c r="Q17" s="313"/>
      <c r="R17" s="313"/>
      <c r="S17" s="313"/>
      <c r="T17" s="313"/>
      <c r="U17" s="313"/>
      <c r="V17" s="312">
        <f>411/18</f>
        <v>22.833333333333332</v>
      </c>
      <c r="X17" s="313"/>
      <c r="Y17" s="313"/>
    </row>
    <row r="18" spans="1:29" ht="42" customHeight="1">
      <c r="A18" s="243"/>
      <c r="B18" s="272"/>
      <c r="C18" s="243"/>
      <c r="D18" s="243"/>
      <c r="E18" s="166" t="s">
        <v>28</v>
      </c>
      <c r="F18" s="204" t="s">
        <v>15</v>
      </c>
      <c r="G18" s="204">
        <v>4</v>
      </c>
      <c r="H18" s="204" t="s">
        <v>33</v>
      </c>
      <c r="I18" s="204"/>
      <c r="J18" s="204"/>
      <c r="K18" s="204"/>
      <c r="L18" s="295"/>
      <c r="M18" s="313">
        <v>1</v>
      </c>
      <c r="N18" s="313"/>
      <c r="O18" s="313">
        <v>0.8</v>
      </c>
      <c r="P18" s="313">
        <f t="shared" si="0"/>
        <v>3.2</v>
      </c>
      <c r="Q18" s="313"/>
      <c r="R18" s="313"/>
      <c r="S18" s="313"/>
      <c r="T18" s="313"/>
      <c r="U18" s="313"/>
      <c r="V18" s="312"/>
      <c r="X18" s="313"/>
      <c r="Y18" s="313"/>
    </row>
    <row r="19" spans="1:29" ht="14.25" customHeight="1">
      <c r="A19" s="242">
        <v>3</v>
      </c>
      <c r="B19" s="270" t="s">
        <v>246</v>
      </c>
      <c r="C19" s="242" t="s">
        <v>15</v>
      </c>
      <c r="D19" s="242">
        <v>4</v>
      </c>
      <c r="E19" s="166" t="s">
        <v>18</v>
      </c>
      <c r="F19" s="204" t="s">
        <v>144</v>
      </c>
      <c r="G19" s="204">
        <f>D19*0.5</f>
        <v>2</v>
      </c>
      <c r="H19" s="204" t="s">
        <v>32</v>
      </c>
      <c r="I19" s="141"/>
      <c r="J19" s="204"/>
      <c r="K19" s="204"/>
      <c r="L19" s="295"/>
      <c r="M19" s="313">
        <v>1</v>
      </c>
      <c r="N19" s="313"/>
      <c r="O19" s="313">
        <v>600</v>
      </c>
      <c r="P19" s="313">
        <f t="shared" si="0"/>
        <v>1200</v>
      </c>
      <c r="Q19" s="313"/>
      <c r="R19" s="313"/>
      <c r="S19" s="313"/>
      <c r="T19" s="313"/>
      <c r="U19" s="313"/>
      <c r="V19" s="312"/>
      <c r="X19" s="313"/>
      <c r="Y19" s="313"/>
    </row>
    <row r="20" spans="1:29" ht="33.75" customHeight="1">
      <c r="A20" s="250"/>
      <c r="B20" s="271"/>
      <c r="C20" s="250"/>
      <c r="D20" s="250"/>
      <c r="E20" s="166" t="s">
        <v>28</v>
      </c>
      <c r="F20" s="204" t="s">
        <v>15</v>
      </c>
      <c r="G20" s="204">
        <v>32</v>
      </c>
      <c r="H20" s="204" t="s">
        <v>33</v>
      </c>
      <c r="I20" s="141"/>
      <c r="J20" s="204"/>
      <c r="K20" s="204"/>
      <c r="L20" s="295"/>
      <c r="M20" s="313">
        <v>1</v>
      </c>
      <c r="N20" s="313"/>
      <c r="O20" s="313">
        <v>0.8</v>
      </c>
      <c r="P20" s="313">
        <f t="shared" si="0"/>
        <v>25.6</v>
      </c>
      <c r="Q20" s="313"/>
      <c r="R20" s="313"/>
      <c r="S20" s="313"/>
      <c r="T20" s="313"/>
      <c r="U20" s="313"/>
      <c r="V20" s="312">
        <f>411/18</f>
        <v>22.833333333333332</v>
      </c>
      <c r="X20" s="313"/>
      <c r="Y20" s="313"/>
    </row>
    <row r="21" spans="1:29" ht="40.5" customHeight="1">
      <c r="A21" s="203">
        <v>4</v>
      </c>
      <c r="B21" s="185" t="s">
        <v>235</v>
      </c>
      <c r="C21" s="205" t="s">
        <v>236</v>
      </c>
      <c r="D21" s="201">
        <f>D35*7.4+D28*4.7+D22*2</f>
        <v>40.9</v>
      </c>
      <c r="E21" s="185"/>
      <c r="F21" s="203"/>
      <c r="G21" s="203"/>
      <c r="H21" s="203"/>
      <c r="I21" s="202" t="s">
        <v>92</v>
      </c>
      <c r="J21" s="200" t="str">
        <f>IF(ISNA(VLOOKUP(I21,[1]Матер!$A$2:$C$85,2,0)),0,VLOOKUP(I21,[1]Матер!$A$2:$C$85,2,0))</f>
        <v>кг</v>
      </c>
      <c r="K21" s="209">
        <f>D21*1</f>
        <v>40.9</v>
      </c>
      <c r="L21" s="296" t="s">
        <v>142</v>
      </c>
      <c r="M21" s="313"/>
      <c r="N21" s="306">
        <v>3</v>
      </c>
      <c r="O21" s="306">
        <v>1</v>
      </c>
      <c r="P21" s="313"/>
      <c r="Q21" s="304">
        <f t="shared" ref="Q21" si="1">O21*K21</f>
        <v>40.9</v>
      </c>
      <c r="R21" s="313">
        <f t="shared" ref="R21:R55" si="2">IF(N21=$R$14,Q21,0)</f>
        <v>0</v>
      </c>
      <c r="S21" s="313">
        <f t="shared" ref="S21:S55" si="3">IF(N21=$S$14,Q21,0)</f>
        <v>0</v>
      </c>
      <c r="T21" s="313">
        <f t="shared" ref="T21:T55" si="4">IF(N21=$T$14,Q21,0)</f>
        <v>40.9</v>
      </c>
      <c r="U21" s="313">
        <f t="shared" ref="U21:U55" si="5">IF(N21=$U$14,Q21,0)</f>
        <v>0</v>
      </c>
      <c r="V21" s="312"/>
      <c r="X21" s="313"/>
      <c r="Y21" s="313"/>
    </row>
    <row r="22" spans="1:29" ht="14.25" customHeight="1">
      <c r="A22" s="246">
        <v>5</v>
      </c>
      <c r="B22" s="253" t="s">
        <v>233</v>
      </c>
      <c r="C22" s="246" t="s">
        <v>214</v>
      </c>
      <c r="D22" s="246">
        <v>4</v>
      </c>
      <c r="E22" s="206" t="s">
        <v>215</v>
      </c>
      <c r="F22" s="206" t="s">
        <v>215</v>
      </c>
      <c r="G22" s="206" t="s">
        <v>215</v>
      </c>
      <c r="H22" s="206" t="s">
        <v>215</v>
      </c>
      <c r="I22" s="186" t="s">
        <v>216</v>
      </c>
      <c r="J22" s="187" t="s">
        <v>217</v>
      </c>
      <c r="K22" s="187">
        <f>D22*1</f>
        <v>4</v>
      </c>
      <c r="L22" s="296" t="s">
        <v>142</v>
      </c>
      <c r="M22" s="306"/>
      <c r="N22" s="306">
        <v>1</v>
      </c>
      <c r="O22" s="306">
        <v>1180</v>
      </c>
      <c r="Q22" s="304">
        <f>O22*K22</f>
        <v>4720</v>
      </c>
      <c r="R22" s="313">
        <f t="shared" si="2"/>
        <v>4720</v>
      </c>
      <c r="S22" s="313">
        <f t="shared" si="3"/>
        <v>0</v>
      </c>
      <c r="T22" s="313">
        <f t="shared" si="4"/>
        <v>0</v>
      </c>
      <c r="U22" s="313">
        <f t="shared" si="5"/>
        <v>0</v>
      </c>
      <c r="V22" s="312"/>
      <c r="X22" s="313"/>
      <c r="Y22" s="313"/>
    </row>
    <row r="23" spans="1:29" ht="14.25" customHeight="1">
      <c r="A23" s="247"/>
      <c r="B23" s="254"/>
      <c r="C23" s="247"/>
      <c r="D23" s="247"/>
      <c r="E23" s="207" t="s">
        <v>215</v>
      </c>
      <c r="F23" s="207" t="s">
        <v>215</v>
      </c>
      <c r="G23" s="207" t="s">
        <v>215</v>
      </c>
      <c r="H23" s="207" t="s">
        <v>215</v>
      </c>
      <c r="I23" s="186" t="s">
        <v>219</v>
      </c>
      <c r="J23" s="187" t="s">
        <v>217</v>
      </c>
      <c r="K23" s="187">
        <f>D22*2</f>
        <v>8</v>
      </c>
      <c r="L23" s="297" t="s">
        <v>142</v>
      </c>
      <c r="M23" s="306"/>
      <c r="N23" s="306">
        <v>1</v>
      </c>
      <c r="O23" s="306">
        <v>2.7</v>
      </c>
      <c r="Q23" s="304">
        <f t="shared" ref="Q23:Q55" si="6">O23*K23</f>
        <v>21.6</v>
      </c>
      <c r="R23" s="313">
        <f t="shared" si="2"/>
        <v>21.6</v>
      </c>
      <c r="S23" s="313">
        <f t="shared" si="3"/>
        <v>0</v>
      </c>
      <c r="T23" s="313">
        <f t="shared" si="4"/>
        <v>0</v>
      </c>
      <c r="U23" s="313">
        <f t="shared" si="5"/>
        <v>0</v>
      </c>
      <c r="V23" s="312">
        <f>411/18</f>
        <v>22.833333333333332</v>
      </c>
      <c r="X23" s="313"/>
      <c r="Y23" s="313"/>
    </row>
    <row r="24" spans="1:29" ht="14.25" customHeight="1">
      <c r="A24" s="247"/>
      <c r="B24" s="254"/>
      <c r="C24" s="247"/>
      <c r="D24" s="247"/>
      <c r="E24" s="207" t="s">
        <v>215</v>
      </c>
      <c r="F24" s="207" t="s">
        <v>215</v>
      </c>
      <c r="G24" s="207" t="s">
        <v>215</v>
      </c>
      <c r="H24" s="207" t="s">
        <v>215</v>
      </c>
      <c r="I24" s="186" t="s">
        <v>237</v>
      </c>
      <c r="J24" s="187" t="s">
        <v>217</v>
      </c>
      <c r="K24" s="187">
        <f>D22*2</f>
        <v>8</v>
      </c>
      <c r="L24" s="297" t="s">
        <v>142</v>
      </c>
      <c r="M24" s="306"/>
      <c r="N24" s="306">
        <v>1</v>
      </c>
      <c r="O24" s="306">
        <v>1.2</v>
      </c>
      <c r="Q24" s="304">
        <f t="shared" si="6"/>
        <v>9.6</v>
      </c>
      <c r="R24" s="313">
        <f t="shared" si="2"/>
        <v>9.6</v>
      </c>
      <c r="S24" s="313">
        <f t="shared" si="3"/>
        <v>0</v>
      </c>
      <c r="T24" s="313">
        <f t="shared" si="4"/>
        <v>0</v>
      </c>
      <c r="U24" s="313">
        <f t="shared" si="5"/>
        <v>0</v>
      </c>
      <c r="V24" s="312"/>
      <c r="X24" s="313"/>
      <c r="Y24" s="313"/>
    </row>
    <row r="25" spans="1:29" s="176" customFormat="1">
      <c r="A25" s="247"/>
      <c r="B25" s="254"/>
      <c r="C25" s="247"/>
      <c r="D25" s="247"/>
      <c r="E25" s="207" t="s">
        <v>215</v>
      </c>
      <c r="F25" s="207" t="s">
        <v>215</v>
      </c>
      <c r="G25" s="207" t="s">
        <v>215</v>
      </c>
      <c r="H25" s="207" t="s">
        <v>215</v>
      </c>
      <c r="I25" s="186" t="s">
        <v>222</v>
      </c>
      <c r="J25" s="187" t="s">
        <v>217</v>
      </c>
      <c r="K25" s="187">
        <f>D22*1</f>
        <v>4</v>
      </c>
      <c r="L25" s="297" t="s">
        <v>142</v>
      </c>
      <c r="M25" s="306"/>
      <c r="N25" s="306">
        <v>1</v>
      </c>
      <c r="O25" s="306">
        <v>0.25</v>
      </c>
      <c r="P25" s="304"/>
      <c r="Q25" s="304">
        <f t="shared" si="6"/>
        <v>1</v>
      </c>
      <c r="R25" s="313">
        <f t="shared" si="2"/>
        <v>1</v>
      </c>
      <c r="S25" s="313">
        <f t="shared" si="3"/>
        <v>0</v>
      </c>
      <c r="T25" s="313">
        <f t="shared" si="4"/>
        <v>0</v>
      </c>
      <c r="U25" s="313">
        <f t="shared" si="5"/>
        <v>0</v>
      </c>
      <c r="V25" s="312"/>
      <c r="W25" s="304"/>
      <c r="X25" s="304"/>
      <c r="Y25" s="313"/>
      <c r="Z25" s="304"/>
      <c r="AA25" s="304"/>
      <c r="AB25" s="304"/>
      <c r="AC25" s="304"/>
    </row>
    <row r="26" spans="1:29" s="176" customFormat="1">
      <c r="A26" s="247"/>
      <c r="B26" s="254"/>
      <c r="C26" s="247"/>
      <c r="D26" s="247"/>
      <c r="E26" s="216"/>
      <c r="F26" s="216"/>
      <c r="G26" s="216"/>
      <c r="H26" s="216"/>
      <c r="I26" s="218" t="s">
        <v>259</v>
      </c>
      <c r="J26" s="219" t="s">
        <v>217</v>
      </c>
      <c r="K26" s="219">
        <f>K22*4</f>
        <v>16</v>
      </c>
      <c r="L26" s="298" t="s">
        <v>142</v>
      </c>
      <c r="M26" s="306"/>
      <c r="N26" s="306"/>
      <c r="O26" s="306"/>
      <c r="P26" s="304"/>
      <c r="Q26" s="304"/>
      <c r="R26" s="313"/>
      <c r="S26" s="313"/>
      <c r="T26" s="313"/>
      <c r="U26" s="313"/>
      <c r="V26" s="312"/>
      <c r="W26" s="304"/>
      <c r="X26" s="304"/>
      <c r="Y26" s="313"/>
      <c r="Z26" s="304"/>
      <c r="AA26" s="304"/>
      <c r="AB26" s="304"/>
      <c r="AC26" s="304"/>
    </row>
    <row r="27" spans="1:29" s="176" customFormat="1">
      <c r="A27" s="247"/>
      <c r="B27" s="254"/>
      <c r="C27" s="247"/>
      <c r="D27" s="247"/>
      <c r="E27" s="207" t="s">
        <v>215</v>
      </c>
      <c r="F27" s="207" t="s">
        <v>215</v>
      </c>
      <c r="G27" s="207" t="s">
        <v>215</v>
      </c>
      <c r="H27" s="207" t="s">
        <v>215</v>
      </c>
      <c r="I27" s="183" t="s">
        <v>174</v>
      </c>
      <c r="J27" s="184" t="s">
        <v>16</v>
      </c>
      <c r="K27" s="184">
        <f>D22*0.4</f>
        <v>1.6</v>
      </c>
      <c r="L27" s="297" t="s">
        <v>142</v>
      </c>
      <c r="M27" s="306"/>
      <c r="N27" s="306">
        <v>1</v>
      </c>
      <c r="O27" s="306">
        <v>1</v>
      </c>
      <c r="P27" s="304"/>
      <c r="Q27" s="304">
        <f t="shared" si="6"/>
        <v>1.6</v>
      </c>
      <c r="R27" s="313">
        <f t="shared" si="2"/>
        <v>1.6</v>
      </c>
      <c r="S27" s="313">
        <f t="shared" si="3"/>
        <v>0</v>
      </c>
      <c r="T27" s="313">
        <f t="shared" si="4"/>
        <v>0</v>
      </c>
      <c r="U27" s="313">
        <f t="shared" si="5"/>
        <v>0</v>
      </c>
      <c r="V27" s="312"/>
      <c r="W27" s="304"/>
      <c r="X27" s="304"/>
      <c r="Y27" s="313"/>
      <c r="Z27" s="304"/>
      <c r="AA27" s="304"/>
      <c r="AB27" s="304"/>
      <c r="AC27" s="304"/>
    </row>
    <row r="28" spans="1:29" s="176" customFormat="1">
      <c r="A28" s="246">
        <v>6</v>
      </c>
      <c r="B28" s="253" t="s">
        <v>234</v>
      </c>
      <c r="C28" s="246" t="s">
        <v>214</v>
      </c>
      <c r="D28" s="246">
        <v>7</v>
      </c>
      <c r="E28" s="206" t="s">
        <v>215</v>
      </c>
      <c r="F28" s="206" t="s">
        <v>215</v>
      </c>
      <c r="G28" s="206" t="s">
        <v>215</v>
      </c>
      <c r="H28" s="206" t="s">
        <v>215</v>
      </c>
      <c r="I28" s="186" t="s">
        <v>216</v>
      </c>
      <c r="J28" s="187" t="s">
        <v>217</v>
      </c>
      <c r="K28" s="187">
        <f>D28*2</f>
        <v>14</v>
      </c>
      <c r="L28" s="296" t="s">
        <v>142</v>
      </c>
      <c r="M28" s="306"/>
      <c r="N28" s="306">
        <v>1</v>
      </c>
      <c r="O28" s="306">
        <v>1180</v>
      </c>
      <c r="P28" s="304"/>
      <c r="Q28" s="304">
        <f t="shared" si="6"/>
        <v>16520</v>
      </c>
      <c r="R28" s="313">
        <f t="shared" si="2"/>
        <v>16520</v>
      </c>
      <c r="S28" s="313">
        <f t="shared" si="3"/>
        <v>0</v>
      </c>
      <c r="T28" s="313">
        <f t="shared" si="4"/>
        <v>0</v>
      </c>
      <c r="U28" s="313">
        <f t="shared" si="5"/>
        <v>0</v>
      </c>
      <c r="V28" s="312"/>
      <c r="W28" s="304"/>
      <c r="X28" s="304"/>
      <c r="Y28" s="313"/>
      <c r="Z28" s="304"/>
      <c r="AA28" s="304"/>
      <c r="AB28" s="304"/>
      <c r="AC28" s="304"/>
    </row>
    <row r="29" spans="1:29" s="176" customFormat="1">
      <c r="A29" s="247"/>
      <c r="B29" s="254"/>
      <c r="C29" s="247"/>
      <c r="D29" s="247"/>
      <c r="E29" s="207" t="s">
        <v>215</v>
      </c>
      <c r="F29" s="207" t="s">
        <v>215</v>
      </c>
      <c r="G29" s="207" t="s">
        <v>215</v>
      </c>
      <c r="H29" s="207" t="s">
        <v>215</v>
      </c>
      <c r="I29" s="186" t="s">
        <v>219</v>
      </c>
      <c r="J29" s="187" t="s">
        <v>217</v>
      </c>
      <c r="K29" s="187">
        <f>D28*2</f>
        <v>14</v>
      </c>
      <c r="L29" s="297" t="s">
        <v>142</v>
      </c>
      <c r="M29" s="306"/>
      <c r="N29" s="306">
        <v>1</v>
      </c>
      <c r="O29" s="306">
        <v>2.7</v>
      </c>
      <c r="P29" s="304"/>
      <c r="Q29" s="304">
        <f t="shared" si="6"/>
        <v>37.800000000000004</v>
      </c>
      <c r="R29" s="313">
        <f t="shared" si="2"/>
        <v>37.800000000000004</v>
      </c>
      <c r="S29" s="313">
        <f t="shared" si="3"/>
        <v>0</v>
      </c>
      <c r="T29" s="313">
        <f t="shared" si="4"/>
        <v>0</v>
      </c>
      <c r="U29" s="313">
        <f t="shared" si="5"/>
        <v>0</v>
      </c>
      <c r="V29" s="304"/>
      <c r="W29" s="304"/>
      <c r="X29" s="304"/>
      <c r="Y29" s="313"/>
      <c r="Z29" s="304"/>
      <c r="AA29" s="304"/>
      <c r="AB29" s="304"/>
      <c r="AC29" s="304"/>
    </row>
    <row r="30" spans="1:29" s="174" customFormat="1" ht="12.75" customHeight="1">
      <c r="A30" s="247"/>
      <c r="B30" s="254"/>
      <c r="C30" s="247"/>
      <c r="D30" s="247"/>
      <c r="E30" s="207" t="s">
        <v>215</v>
      </c>
      <c r="F30" s="207" t="s">
        <v>215</v>
      </c>
      <c r="G30" s="207" t="s">
        <v>215</v>
      </c>
      <c r="H30" s="207" t="s">
        <v>215</v>
      </c>
      <c r="I30" s="186" t="s">
        <v>220</v>
      </c>
      <c r="J30" s="187" t="s">
        <v>217</v>
      </c>
      <c r="K30" s="187">
        <f>D28*2</f>
        <v>14</v>
      </c>
      <c r="L30" s="297" t="s">
        <v>142</v>
      </c>
      <c r="M30" s="306"/>
      <c r="N30" s="306">
        <v>1</v>
      </c>
      <c r="O30" s="306">
        <v>1.3</v>
      </c>
      <c r="P30" s="304"/>
      <c r="Q30" s="304">
        <f t="shared" si="6"/>
        <v>18.2</v>
      </c>
      <c r="R30" s="313">
        <f t="shared" si="2"/>
        <v>18.2</v>
      </c>
      <c r="S30" s="313">
        <f t="shared" si="3"/>
        <v>0</v>
      </c>
      <c r="T30" s="313">
        <f t="shared" si="4"/>
        <v>0</v>
      </c>
      <c r="U30" s="313">
        <f t="shared" si="5"/>
        <v>0</v>
      </c>
      <c r="V30" s="304"/>
      <c r="W30" s="304"/>
      <c r="X30" s="304"/>
      <c r="Y30" s="304"/>
      <c r="Z30" s="304"/>
      <c r="AA30" s="304"/>
      <c r="AB30" s="304"/>
      <c r="AC30" s="304"/>
    </row>
    <row r="31" spans="1:29" s="174" customFormat="1">
      <c r="A31" s="247"/>
      <c r="B31" s="254"/>
      <c r="C31" s="247"/>
      <c r="D31" s="247"/>
      <c r="E31" s="207" t="s">
        <v>215</v>
      </c>
      <c r="F31" s="207" t="s">
        <v>215</v>
      </c>
      <c r="G31" s="207" t="s">
        <v>215</v>
      </c>
      <c r="H31" s="207" t="s">
        <v>215</v>
      </c>
      <c r="I31" s="186" t="s">
        <v>169</v>
      </c>
      <c r="J31" s="187" t="s">
        <v>217</v>
      </c>
      <c r="K31" s="187">
        <f>D28</f>
        <v>7</v>
      </c>
      <c r="L31" s="297" t="s">
        <v>142</v>
      </c>
      <c r="M31" s="306"/>
      <c r="N31" s="306">
        <v>1</v>
      </c>
      <c r="O31" s="306">
        <v>10.4</v>
      </c>
      <c r="P31" s="304"/>
      <c r="Q31" s="304">
        <f t="shared" si="6"/>
        <v>72.8</v>
      </c>
      <c r="R31" s="313">
        <f t="shared" si="2"/>
        <v>72.8</v>
      </c>
      <c r="S31" s="313">
        <f t="shared" si="3"/>
        <v>0</v>
      </c>
      <c r="T31" s="313">
        <f t="shared" si="4"/>
        <v>0</v>
      </c>
      <c r="U31" s="313">
        <f t="shared" si="5"/>
        <v>0</v>
      </c>
      <c r="V31" s="304"/>
      <c r="W31" s="304"/>
      <c r="X31" s="304"/>
      <c r="Y31" s="304"/>
      <c r="Z31" s="304"/>
      <c r="AA31" s="304"/>
      <c r="AB31" s="304"/>
      <c r="AC31" s="304"/>
    </row>
    <row r="32" spans="1:29" s="174" customFormat="1">
      <c r="A32" s="247"/>
      <c r="B32" s="254"/>
      <c r="C32" s="247"/>
      <c r="D32" s="247"/>
      <c r="E32" s="207" t="s">
        <v>215</v>
      </c>
      <c r="F32" s="207" t="s">
        <v>215</v>
      </c>
      <c r="G32" s="207" t="s">
        <v>215</v>
      </c>
      <c r="H32" s="207" t="s">
        <v>215</v>
      </c>
      <c r="I32" s="186" t="s">
        <v>222</v>
      </c>
      <c r="J32" s="187" t="s">
        <v>217</v>
      </c>
      <c r="K32" s="187">
        <f>D28*1</f>
        <v>7</v>
      </c>
      <c r="L32" s="297" t="s">
        <v>142</v>
      </c>
      <c r="M32" s="306"/>
      <c r="N32" s="306">
        <v>1</v>
      </c>
      <c r="O32" s="306">
        <v>0.25</v>
      </c>
      <c r="P32" s="304"/>
      <c r="Q32" s="304">
        <f t="shared" si="6"/>
        <v>1.75</v>
      </c>
      <c r="R32" s="313">
        <f t="shared" si="2"/>
        <v>1.75</v>
      </c>
      <c r="S32" s="313">
        <f t="shared" si="3"/>
        <v>0</v>
      </c>
      <c r="T32" s="313">
        <f t="shared" si="4"/>
        <v>0</v>
      </c>
      <c r="U32" s="313">
        <f t="shared" si="5"/>
        <v>0</v>
      </c>
      <c r="V32" s="304"/>
      <c r="W32" s="304"/>
      <c r="X32" s="304"/>
      <c r="Y32" s="304"/>
      <c r="Z32" s="304"/>
      <c r="AA32" s="304"/>
      <c r="AB32" s="304"/>
      <c r="AC32" s="304"/>
    </row>
    <row r="33" spans="1:29" s="174" customFormat="1">
      <c r="A33" s="247"/>
      <c r="B33" s="254"/>
      <c r="C33" s="247"/>
      <c r="D33" s="247"/>
      <c r="E33" s="216"/>
      <c r="F33" s="216"/>
      <c r="G33" s="216"/>
      <c r="H33" s="216"/>
      <c r="I33" s="218" t="s">
        <v>259</v>
      </c>
      <c r="J33" s="219" t="s">
        <v>217</v>
      </c>
      <c r="K33" s="219">
        <f>K29*2</f>
        <v>28</v>
      </c>
      <c r="L33" s="298" t="s">
        <v>142</v>
      </c>
      <c r="M33" s="306"/>
      <c r="N33" s="306"/>
      <c r="O33" s="306"/>
      <c r="P33" s="304"/>
      <c r="Q33" s="304"/>
      <c r="R33" s="313"/>
      <c r="S33" s="313"/>
      <c r="T33" s="313"/>
      <c r="U33" s="313"/>
      <c r="V33" s="304"/>
      <c r="W33" s="304"/>
      <c r="X33" s="304"/>
      <c r="Y33" s="304"/>
      <c r="Z33" s="304"/>
      <c r="AA33" s="304"/>
      <c r="AB33" s="304"/>
      <c r="AC33" s="304"/>
    </row>
    <row r="34" spans="1:29" s="174" customFormat="1">
      <c r="A34" s="247"/>
      <c r="B34" s="254"/>
      <c r="C34" s="247"/>
      <c r="D34" s="247"/>
      <c r="E34" s="207" t="s">
        <v>215</v>
      </c>
      <c r="F34" s="207" t="s">
        <v>215</v>
      </c>
      <c r="G34" s="207" t="s">
        <v>215</v>
      </c>
      <c r="H34" s="207" t="s">
        <v>215</v>
      </c>
      <c r="I34" s="183" t="s">
        <v>174</v>
      </c>
      <c r="J34" s="184" t="s">
        <v>16</v>
      </c>
      <c r="K34" s="187">
        <f>D28*0.4</f>
        <v>2.8000000000000003</v>
      </c>
      <c r="L34" s="299" t="s">
        <v>142</v>
      </c>
      <c r="M34" s="306"/>
      <c r="N34" s="306">
        <v>3</v>
      </c>
      <c r="O34" s="306">
        <v>1</v>
      </c>
      <c r="P34" s="304"/>
      <c r="Q34" s="304">
        <f t="shared" si="6"/>
        <v>2.8000000000000003</v>
      </c>
      <c r="R34" s="313">
        <f t="shared" si="2"/>
        <v>0</v>
      </c>
      <c r="S34" s="313">
        <f t="shared" si="3"/>
        <v>0</v>
      </c>
      <c r="T34" s="313">
        <f t="shared" si="4"/>
        <v>2.8000000000000003</v>
      </c>
      <c r="U34" s="313">
        <f t="shared" si="5"/>
        <v>0</v>
      </c>
      <c r="V34" s="313"/>
      <c r="W34" s="304"/>
      <c r="X34" s="304"/>
      <c r="Y34" s="313"/>
      <c r="Z34" s="304"/>
      <c r="AA34" s="304"/>
      <c r="AB34" s="304"/>
      <c r="AC34" s="304"/>
    </row>
    <row r="35" spans="1:29" s="174" customFormat="1" ht="25.5" hidden="1" customHeight="1">
      <c r="A35" s="246">
        <v>8</v>
      </c>
      <c r="B35" s="253" t="s">
        <v>247</v>
      </c>
      <c r="C35" s="246" t="s">
        <v>214</v>
      </c>
      <c r="D35" s="246"/>
      <c r="E35" s="206" t="s">
        <v>215</v>
      </c>
      <c r="F35" s="206" t="s">
        <v>215</v>
      </c>
      <c r="G35" s="206" t="s">
        <v>215</v>
      </c>
      <c r="H35" s="206" t="s">
        <v>215</v>
      </c>
      <c r="I35" s="186" t="s">
        <v>216</v>
      </c>
      <c r="J35" s="187" t="s">
        <v>217</v>
      </c>
      <c r="K35" s="187">
        <f>D35*3</f>
        <v>0</v>
      </c>
      <c r="L35" s="297" t="s">
        <v>218</v>
      </c>
      <c r="M35" s="306"/>
      <c r="N35" s="306">
        <v>1</v>
      </c>
      <c r="O35" s="306">
        <v>1180</v>
      </c>
      <c r="P35" s="304"/>
      <c r="Q35" s="304">
        <f t="shared" si="6"/>
        <v>0</v>
      </c>
      <c r="R35" s="313">
        <f t="shared" si="2"/>
        <v>0</v>
      </c>
      <c r="S35" s="313">
        <f t="shared" si="3"/>
        <v>0</v>
      </c>
      <c r="T35" s="313">
        <f t="shared" si="4"/>
        <v>0</v>
      </c>
      <c r="U35" s="313">
        <f t="shared" si="5"/>
        <v>0</v>
      </c>
      <c r="V35" s="313"/>
      <c r="W35" s="304"/>
      <c r="X35" s="304"/>
      <c r="Y35" s="313"/>
      <c r="Z35" s="304"/>
      <c r="AA35" s="304"/>
      <c r="AB35" s="304"/>
      <c r="AC35" s="304"/>
    </row>
    <row r="36" spans="1:29" s="174" customFormat="1" ht="12.75" hidden="1" customHeight="1">
      <c r="A36" s="247"/>
      <c r="B36" s="254"/>
      <c r="C36" s="247"/>
      <c r="D36" s="247"/>
      <c r="E36" s="207" t="s">
        <v>215</v>
      </c>
      <c r="F36" s="207" t="s">
        <v>215</v>
      </c>
      <c r="G36" s="207" t="s">
        <v>215</v>
      </c>
      <c r="H36" s="207" t="s">
        <v>215</v>
      </c>
      <c r="I36" s="186" t="s">
        <v>219</v>
      </c>
      <c r="J36" s="187" t="s">
        <v>217</v>
      </c>
      <c r="K36" s="187">
        <f>D35*1</f>
        <v>0</v>
      </c>
      <c r="L36" s="297" t="s">
        <v>142</v>
      </c>
      <c r="M36" s="306"/>
      <c r="N36" s="306">
        <v>1</v>
      </c>
      <c r="O36" s="306">
        <v>2.7</v>
      </c>
      <c r="P36" s="304"/>
      <c r="Q36" s="304">
        <f t="shared" si="6"/>
        <v>0</v>
      </c>
      <c r="R36" s="313">
        <f t="shared" si="2"/>
        <v>0</v>
      </c>
      <c r="S36" s="313">
        <f t="shared" si="3"/>
        <v>0</v>
      </c>
      <c r="T36" s="313">
        <f t="shared" si="4"/>
        <v>0</v>
      </c>
      <c r="U36" s="313">
        <f t="shared" si="5"/>
        <v>0</v>
      </c>
      <c r="V36" s="313"/>
      <c r="W36" s="304"/>
      <c r="X36" s="304"/>
      <c r="Y36" s="313"/>
      <c r="Z36" s="304"/>
      <c r="AA36" s="304"/>
      <c r="AB36" s="304"/>
      <c r="AC36" s="304"/>
    </row>
    <row r="37" spans="1:29" s="174" customFormat="1" hidden="1">
      <c r="A37" s="247"/>
      <c r="B37" s="254"/>
      <c r="C37" s="247"/>
      <c r="D37" s="247"/>
      <c r="E37" s="207" t="s">
        <v>215</v>
      </c>
      <c r="F37" s="207" t="s">
        <v>215</v>
      </c>
      <c r="G37" s="207" t="s">
        <v>215</v>
      </c>
      <c r="H37" s="207" t="s">
        <v>215</v>
      </c>
      <c r="I37" s="186" t="s">
        <v>220</v>
      </c>
      <c r="J37" s="187" t="s">
        <v>217</v>
      </c>
      <c r="K37" s="187">
        <f>D35*1</f>
        <v>0</v>
      </c>
      <c r="L37" s="297" t="s">
        <v>142</v>
      </c>
      <c r="M37" s="306"/>
      <c r="N37" s="306">
        <v>1</v>
      </c>
      <c r="O37" s="306">
        <v>1.3</v>
      </c>
      <c r="P37" s="304"/>
      <c r="Q37" s="304">
        <f t="shared" si="6"/>
        <v>0</v>
      </c>
      <c r="R37" s="313">
        <f t="shared" si="2"/>
        <v>0</v>
      </c>
      <c r="S37" s="313">
        <f t="shared" si="3"/>
        <v>0</v>
      </c>
      <c r="T37" s="313">
        <f t="shared" si="4"/>
        <v>0</v>
      </c>
      <c r="U37" s="313">
        <f t="shared" si="5"/>
        <v>0</v>
      </c>
      <c r="V37" s="313"/>
      <c r="W37" s="304"/>
      <c r="X37" s="304"/>
      <c r="Y37" s="313"/>
      <c r="Z37" s="304"/>
      <c r="AA37" s="304"/>
      <c r="AB37" s="304"/>
      <c r="AC37" s="304"/>
    </row>
    <row r="38" spans="1:29" s="174" customFormat="1" hidden="1">
      <c r="A38" s="247"/>
      <c r="B38" s="254"/>
      <c r="C38" s="247"/>
      <c r="D38" s="247"/>
      <c r="E38" s="207" t="s">
        <v>215</v>
      </c>
      <c r="F38" s="207" t="s">
        <v>215</v>
      </c>
      <c r="G38" s="207" t="s">
        <v>215</v>
      </c>
      <c r="H38" s="207" t="s">
        <v>215</v>
      </c>
      <c r="I38" s="186" t="s">
        <v>169</v>
      </c>
      <c r="J38" s="187" t="s">
        <v>217</v>
      </c>
      <c r="K38" s="187">
        <f>D35*2</f>
        <v>0</v>
      </c>
      <c r="L38" s="297" t="s">
        <v>142</v>
      </c>
      <c r="M38" s="306"/>
      <c r="N38" s="306">
        <v>1</v>
      </c>
      <c r="O38" s="306">
        <v>10.4</v>
      </c>
      <c r="P38" s="304"/>
      <c r="Q38" s="304">
        <f t="shared" si="6"/>
        <v>0</v>
      </c>
      <c r="R38" s="313">
        <f t="shared" si="2"/>
        <v>0</v>
      </c>
      <c r="S38" s="313">
        <f t="shared" si="3"/>
        <v>0</v>
      </c>
      <c r="T38" s="313">
        <f t="shared" si="4"/>
        <v>0</v>
      </c>
      <c r="U38" s="313">
        <f t="shared" si="5"/>
        <v>0</v>
      </c>
      <c r="V38" s="313"/>
      <c r="W38" s="304"/>
      <c r="X38" s="304"/>
      <c r="Y38" s="313"/>
      <c r="Z38" s="304"/>
      <c r="AA38" s="304"/>
      <c r="AB38" s="304"/>
      <c r="AC38" s="304"/>
    </row>
    <row r="39" spans="1:29" s="174" customFormat="1" hidden="1">
      <c r="A39" s="247"/>
      <c r="B39" s="254"/>
      <c r="C39" s="247"/>
      <c r="D39" s="247"/>
      <c r="E39" s="207" t="s">
        <v>215</v>
      </c>
      <c r="F39" s="207" t="s">
        <v>215</v>
      </c>
      <c r="G39" s="207" t="s">
        <v>215</v>
      </c>
      <c r="H39" s="207" t="s">
        <v>215</v>
      </c>
      <c r="I39" s="186" t="s">
        <v>221</v>
      </c>
      <c r="J39" s="187" t="s">
        <v>170</v>
      </c>
      <c r="K39" s="187">
        <f>D35*8</f>
        <v>0</v>
      </c>
      <c r="L39" s="297" t="s">
        <v>142</v>
      </c>
      <c r="M39" s="306"/>
      <c r="N39" s="306">
        <v>1</v>
      </c>
      <c r="O39" s="306">
        <f>0.888</f>
        <v>0.88800000000000001</v>
      </c>
      <c r="P39" s="304"/>
      <c r="Q39" s="304">
        <f t="shared" si="6"/>
        <v>0</v>
      </c>
      <c r="R39" s="313">
        <f t="shared" si="2"/>
        <v>0</v>
      </c>
      <c r="S39" s="313">
        <f t="shared" si="3"/>
        <v>0</v>
      </c>
      <c r="T39" s="313">
        <f t="shared" si="4"/>
        <v>0</v>
      </c>
      <c r="U39" s="313">
        <f t="shared" si="5"/>
        <v>0</v>
      </c>
      <c r="V39" s="313"/>
      <c r="W39" s="304"/>
      <c r="X39" s="304"/>
      <c r="Y39" s="313"/>
      <c r="Z39" s="304"/>
      <c r="AA39" s="304"/>
      <c r="AB39" s="304"/>
      <c r="AC39" s="304"/>
    </row>
    <row r="40" spans="1:29" s="174" customFormat="1" hidden="1">
      <c r="A40" s="247"/>
      <c r="B40" s="254"/>
      <c r="C40" s="247"/>
      <c r="D40" s="247"/>
      <c r="E40" s="207" t="s">
        <v>215</v>
      </c>
      <c r="F40" s="207" t="s">
        <v>215</v>
      </c>
      <c r="G40" s="207" t="s">
        <v>215</v>
      </c>
      <c r="H40" s="207" t="s">
        <v>215</v>
      </c>
      <c r="I40" s="186" t="s">
        <v>244</v>
      </c>
      <c r="J40" s="187" t="s">
        <v>170</v>
      </c>
      <c r="K40" s="187">
        <f>+D35*2.5</f>
        <v>0</v>
      </c>
      <c r="L40" s="297" t="s">
        <v>142</v>
      </c>
      <c r="M40" s="306"/>
      <c r="N40" s="306">
        <v>1</v>
      </c>
      <c r="O40" s="306">
        <v>1.58</v>
      </c>
      <c r="P40" s="304"/>
      <c r="Q40" s="304">
        <f t="shared" si="6"/>
        <v>0</v>
      </c>
      <c r="R40" s="313">
        <f t="shared" si="2"/>
        <v>0</v>
      </c>
      <c r="S40" s="313">
        <f t="shared" si="3"/>
        <v>0</v>
      </c>
      <c r="T40" s="313">
        <f t="shared" si="4"/>
        <v>0</v>
      </c>
      <c r="U40" s="313">
        <f t="shared" si="5"/>
        <v>0</v>
      </c>
      <c r="V40" s="313"/>
      <c r="W40" s="304"/>
      <c r="X40" s="304"/>
      <c r="Y40" s="313"/>
      <c r="Z40" s="304"/>
      <c r="AA40" s="304"/>
      <c r="AB40" s="304"/>
      <c r="AC40" s="304"/>
    </row>
    <row r="41" spans="1:29" s="174" customFormat="1" hidden="1">
      <c r="A41" s="247"/>
      <c r="B41" s="254"/>
      <c r="C41" s="247"/>
      <c r="D41" s="247"/>
      <c r="E41" s="207" t="s">
        <v>215</v>
      </c>
      <c r="F41" s="207" t="s">
        <v>215</v>
      </c>
      <c r="G41" s="207" t="s">
        <v>215</v>
      </c>
      <c r="H41" s="207" t="s">
        <v>215</v>
      </c>
      <c r="I41" s="186" t="s">
        <v>222</v>
      </c>
      <c r="J41" s="187" t="s">
        <v>217</v>
      </c>
      <c r="K41" s="187">
        <f>D35*1</f>
        <v>0</v>
      </c>
      <c r="L41" s="297" t="s">
        <v>142</v>
      </c>
      <c r="M41" s="306"/>
      <c r="N41" s="306">
        <v>1</v>
      </c>
      <c r="O41" s="306">
        <v>0.42</v>
      </c>
      <c r="P41" s="304"/>
      <c r="Q41" s="304">
        <f t="shared" si="6"/>
        <v>0</v>
      </c>
      <c r="R41" s="313">
        <f t="shared" si="2"/>
        <v>0</v>
      </c>
      <c r="S41" s="313">
        <f t="shared" si="3"/>
        <v>0</v>
      </c>
      <c r="T41" s="313">
        <f t="shared" si="4"/>
        <v>0</v>
      </c>
      <c r="U41" s="313">
        <f t="shared" si="5"/>
        <v>0</v>
      </c>
      <c r="V41" s="313"/>
      <c r="W41" s="304"/>
      <c r="X41" s="304"/>
      <c r="Y41" s="313"/>
      <c r="Z41" s="304"/>
      <c r="AA41" s="304"/>
      <c r="AB41" s="304"/>
      <c r="AC41" s="304"/>
    </row>
    <row r="42" spans="1:29" s="174" customFormat="1" hidden="1">
      <c r="A42" s="247"/>
      <c r="B42" s="254"/>
      <c r="C42" s="247"/>
      <c r="D42" s="247"/>
      <c r="E42" s="207" t="s">
        <v>215</v>
      </c>
      <c r="F42" s="207" t="s">
        <v>215</v>
      </c>
      <c r="G42" s="207" t="s">
        <v>215</v>
      </c>
      <c r="H42" s="207" t="s">
        <v>215</v>
      </c>
      <c r="I42" s="183" t="s">
        <v>174</v>
      </c>
      <c r="J42" s="184" t="s">
        <v>16</v>
      </c>
      <c r="K42" s="187">
        <f>D35*0.4</f>
        <v>0</v>
      </c>
      <c r="L42" s="299" t="s">
        <v>142</v>
      </c>
      <c r="M42" s="306"/>
      <c r="N42" s="306">
        <v>3</v>
      </c>
      <c r="O42" s="306">
        <v>1</v>
      </c>
      <c r="P42" s="304"/>
      <c r="Q42" s="304">
        <f t="shared" si="6"/>
        <v>0</v>
      </c>
      <c r="R42" s="313">
        <f t="shared" si="2"/>
        <v>0</v>
      </c>
      <c r="S42" s="313">
        <f t="shared" si="3"/>
        <v>0</v>
      </c>
      <c r="T42" s="313">
        <f t="shared" si="4"/>
        <v>0</v>
      </c>
      <c r="U42" s="313">
        <f t="shared" si="5"/>
        <v>0</v>
      </c>
      <c r="V42" s="313"/>
      <c r="W42" s="304"/>
      <c r="X42" s="304"/>
      <c r="Y42" s="313"/>
      <c r="Z42" s="304"/>
      <c r="AA42" s="304"/>
      <c r="AB42" s="304"/>
      <c r="AC42" s="304"/>
    </row>
    <row r="43" spans="1:29" s="174" customFormat="1" ht="25.5">
      <c r="A43" s="210">
        <v>7</v>
      </c>
      <c r="B43" s="188" t="s">
        <v>161</v>
      </c>
      <c r="C43" s="210" t="s">
        <v>223</v>
      </c>
      <c r="D43" s="189">
        <v>11</v>
      </c>
      <c r="E43" s="210" t="s">
        <v>215</v>
      </c>
      <c r="F43" s="210" t="s">
        <v>215</v>
      </c>
      <c r="G43" s="210" t="s">
        <v>215</v>
      </c>
      <c r="H43" s="210" t="s">
        <v>215</v>
      </c>
      <c r="I43" s="210" t="s">
        <v>215</v>
      </c>
      <c r="J43" s="210" t="s">
        <v>215</v>
      </c>
      <c r="K43" s="210" t="s">
        <v>215</v>
      </c>
      <c r="L43" s="189" t="s">
        <v>215</v>
      </c>
      <c r="M43" s="306"/>
      <c r="N43" s="306"/>
      <c r="O43" s="306"/>
      <c r="P43" s="304"/>
      <c r="Q43" s="304"/>
      <c r="R43" s="313"/>
      <c r="S43" s="313"/>
      <c r="T43" s="313"/>
      <c r="U43" s="313"/>
      <c r="V43" s="313"/>
      <c r="W43" s="304"/>
      <c r="X43" s="304"/>
      <c r="Y43" s="313"/>
      <c r="Z43" s="304"/>
      <c r="AA43" s="304"/>
      <c r="AB43" s="304"/>
      <c r="AC43" s="304"/>
    </row>
    <row r="44" spans="1:29" s="174" customFormat="1" ht="12.75" customHeight="1">
      <c r="A44" s="252">
        <v>8</v>
      </c>
      <c r="B44" s="266" t="s">
        <v>245</v>
      </c>
      <c r="C44" s="252" t="s">
        <v>214</v>
      </c>
      <c r="D44" s="252">
        <v>11</v>
      </c>
      <c r="E44" s="252" t="s">
        <v>215</v>
      </c>
      <c r="F44" s="252" t="s">
        <v>215</v>
      </c>
      <c r="G44" s="252" t="s">
        <v>215</v>
      </c>
      <c r="H44" s="252" t="s">
        <v>215</v>
      </c>
      <c r="I44" s="220" t="s">
        <v>252</v>
      </c>
      <c r="J44" s="213" t="s">
        <v>14</v>
      </c>
      <c r="K44" s="214">
        <f>G15</f>
        <v>1.3199999999999998</v>
      </c>
      <c r="L44" s="300" t="s">
        <v>228</v>
      </c>
      <c r="M44" s="306"/>
      <c r="N44" s="306">
        <v>1</v>
      </c>
      <c r="O44" s="306">
        <v>1.294</v>
      </c>
      <c r="P44" s="304"/>
      <c r="Q44" s="304">
        <f>O44*K44</f>
        <v>1.7080799999999998</v>
      </c>
      <c r="R44" s="304">
        <f>IF(N44=$R$14,Q44,0)</f>
        <v>1.7080799999999998</v>
      </c>
      <c r="S44" s="304">
        <f>IF(N44=$S$14,Q44,0)</f>
        <v>0</v>
      </c>
      <c r="T44" s="304">
        <f>IF(N44=$T$14,Q44,0)</f>
        <v>0</v>
      </c>
      <c r="U44" s="304">
        <f>IF(N44=$U$14,Q44,0)</f>
        <v>0</v>
      </c>
      <c r="V44" s="313"/>
      <c r="W44" s="304"/>
      <c r="X44" s="304"/>
      <c r="Y44" s="313"/>
      <c r="Z44" s="304"/>
      <c r="AA44" s="304"/>
      <c r="AB44" s="304"/>
      <c r="AC44" s="304"/>
    </row>
    <row r="45" spans="1:29" s="174" customFormat="1" ht="12.75" customHeight="1">
      <c r="A45" s="252"/>
      <c r="B45" s="267"/>
      <c r="C45" s="252"/>
      <c r="D45" s="252"/>
      <c r="E45" s="252"/>
      <c r="F45" s="252"/>
      <c r="G45" s="252"/>
      <c r="H45" s="252"/>
      <c r="I45" s="220" t="s">
        <v>19</v>
      </c>
      <c r="J45" s="213" t="s">
        <v>217</v>
      </c>
      <c r="K45" s="214">
        <f>G16</f>
        <v>44</v>
      </c>
      <c r="L45" s="300" t="s">
        <v>228</v>
      </c>
      <c r="M45" s="306"/>
      <c r="N45" s="306">
        <v>1</v>
      </c>
      <c r="O45" s="306">
        <v>0.01</v>
      </c>
      <c r="P45" s="304"/>
      <c r="Q45" s="304">
        <f>O45*K45</f>
        <v>0.44</v>
      </c>
      <c r="R45" s="304">
        <f>IF(N45=$R$14,Q45,0)</f>
        <v>0.44</v>
      </c>
      <c r="S45" s="304">
        <f>IF(N45=$S$14,Q45,0)</f>
        <v>0</v>
      </c>
      <c r="T45" s="304">
        <f>IF(N45=$T$14,Q45,0)</f>
        <v>0</v>
      </c>
      <c r="U45" s="304">
        <f>IF(N45=$U$14,Q45,0)</f>
        <v>0</v>
      </c>
      <c r="V45" s="313"/>
      <c r="W45" s="304"/>
      <c r="X45" s="304"/>
      <c r="Y45" s="313"/>
      <c r="Z45" s="304"/>
      <c r="AA45" s="304"/>
      <c r="AB45" s="304"/>
      <c r="AC45" s="304"/>
    </row>
    <row r="46" spans="1:29" s="174" customFormat="1">
      <c r="A46" s="252"/>
      <c r="B46" s="268"/>
      <c r="C46" s="252"/>
      <c r="D46" s="252"/>
      <c r="E46" s="252"/>
      <c r="F46" s="252"/>
      <c r="G46" s="252"/>
      <c r="H46" s="252"/>
      <c r="I46" s="221" t="s">
        <v>260</v>
      </c>
      <c r="J46" s="213" t="s">
        <v>170</v>
      </c>
      <c r="K46" s="215">
        <f>D44*6</f>
        <v>66</v>
      </c>
      <c r="L46" s="299" t="s">
        <v>142</v>
      </c>
      <c r="M46" s="306"/>
      <c r="N46" s="306">
        <v>1</v>
      </c>
      <c r="O46" s="306">
        <v>0.17</v>
      </c>
      <c r="P46" s="304"/>
      <c r="Q46" s="304">
        <f>O46*K46</f>
        <v>11.22</v>
      </c>
      <c r="R46" s="304">
        <f>IF(N46=$R$14,Q46,0)</f>
        <v>11.22</v>
      </c>
      <c r="S46" s="304">
        <f>IF(N46=$S$14,Q46,0)</f>
        <v>0</v>
      </c>
      <c r="T46" s="304">
        <f>IF(N46=$T$14,Q46,0)</f>
        <v>0</v>
      </c>
      <c r="U46" s="304">
        <f>IF(N46=$U$14,Q46,0)</f>
        <v>0</v>
      </c>
      <c r="V46" s="313"/>
      <c r="W46" s="304"/>
      <c r="X46" s="304"/>
      <c r="Y46" s="313"/>
      <c r="Z46" s="304"/>
      <c r="AA46" s="304"/>
      <c r="AB46" s="304"/>
      <c r="AC46" s="304"/>
    </row>
    <row r="47" spans="1:29" s="174" customFormat="1">
      <c r="A47" s="256" t="s">
        <v>224</v>
      </c>
      <c r="B47" s="257"/>
      <c r="C47" s="257"/>
      <c r="D47" s="257"/>
      <c r="E47" s="257"/>
      <c r="F47" s="257"/>
      <c r="G47" s="257"/>
      <c r="H47" s="257"/>
      <c r="I47" s="257"/>
      <c r="J47" s="257"/>
      <c r="K47" s="257"/>
      <c r="L47" s="258"/>
      <c r="M47" s="306"/>
      <c r="N47" s="306"/>
      <c r="O47" s="306"/>
      <c r="P47" s="306"/>
      <c r="Q47" s="304"/>
      <c r="R47" s="313"/>
      <c r="S47" s="313"/>
      <c r="T47" s="313"/>
      <c r="U47" s="313"/>
      <c r="V47" s="313"/>
      <c r="W47" s="304"/>
      <c r="X47" s="304"/>
      <c r="Y47" s="313"/>
      <c r="Z47" s="304"/>
      <c r="AA47" s="304"/>
      <c r="AB47" s="304"/>
      <c r="AC47" s="304"/>
    </row>
    <row r="48" spans="1:29" s="174" customFormat="1" ht="38.25">
      <c r="A48" s="206">
        <v>9</v>
      </c>
      <c r="B48" s="186" t="s">
        <v>240</v>
      </c>
      <c r="C48" s="206" t="s">
        <v>225</v>
      </c>
      <c r="D48" s="181">
        <v>7</v>
      </c>
      <c r="E48" s="211" t="s">
        <v>226</v>
      </c>
      <c r="F48" s="206" t="s">
        <v>227</v>
      </c>
      <c r="G48" s="206">
        <f>D48*1</f>
        <v>7</v>
      </c>
      <c r="H48" s="206" t="s">
        <v>228</v>
      </c>
      <c r="I48" s="206" t="s">
        <v>215</v>
      </c>
      <c r="J48" s="206" t="s">
        <v>215</v>
      </c>
      <c r="K48" s="206" t="s">
        <v>215</v>
      </c>
      <c r="L48" s="181" t="s">
        <v>215</v>
      </c>
      <c r="M48" s="306"/>
      <c r="N48" s="306"/>
      <c r="O48" s="306"/>
      <c r="P48" s="304"/>
      <c r="Q48" s="304"/>
      <c r="R48" s="313"/>
      <c r="S48" s="313"/>
      <c r="T48" s="313"/>
      <c r="U48" s="313"/>
      <c r="V48" s="313"/>
      <c r="W48" s="304"/>
      <c r="X48" s="304"/>
      <c r="Y48" s="313"/>
      <c r="Z48" s="304"/>
      <c r="AA48" s="304"/>
      <c r="AB48" s="304"/>
      <c r="AC48" s="304"/>
    </row>
    <row r="49" spans="1:29" s="174" customFormat="1">
      <c r="A49" s="246">
        <v>10</v>
      </c>
      <c r="B49" s="260" t="s">
        <v>229</v>
      </c>
      <c r="C49" s="246" t="s">
        <v>225</v>
      </c>
      <c r="D49" s="246">
        <f>D48*1</f>
        <v>7</v>
      </c>
      <c r="E49" s="246" t="s">
        <v>215</v>
      </c>
      <c r="F49" s="246" t="s">
        <v>215</v>
      </c>
      <c r="G49" s="246" t="s">
        <v>215</v>
      </c>
      <c r="H49" s="246" t="s">
        <v>215</v>
      </c>
      <c r="I49" s="211" t="s">
        <v>226</v>
      </c>
      <c r="J49" s="206" t="s">
        <v>227</v>
      </c>
      <c r="K49" s="206">
        <f>D49</f>
        <v>7</v>
      </c>
      <c r="L49" s="181" t="s">
        <v>228</v>
      </c>
      <c r="M49" s="306"/>
      <c r="N49" s="306"/>
      <c r="O49" s="304"/>
      <c r="P49" s="304"/>
      <c r="Q49" s="304"/>
      <c r="R49" s="313"/>
      <c r="S49" s="313"/>
      <c r="T49" s="313"/>
      <c r="U49" s="313"/>
      <c r="V49" s="313"/>
      <c r="W49" s="304"/>
      <c r="X49" s="304"/>
      <c r="Y49" s="313"/>
      <c r="Z49" s="304"/>
      <c r="AA49" s="304"/>
      <c r="AB49" s="304"/>
      <c r="AC49" s="304"/>
    </row>
    <row r="50" spans="1:29" s="174" customFormat="1" ht="57" customHeight="1">
      <c r="A50" s="259"/>
      <c r="B50" s="261"/>
      <c r="C50" s="259"/>
      <c r="D50" s="259"/>
      <c r="E50" s="259"/>
      <c r="F50" s="259"/>
      <c r="G50" s="259"/>
      <c r="H50" s="259"/>
      <c r="I50" s="188" t="s">
        <v>248</v>
      </c>
      <c r="J50" s="187" t="s">
        <v>217</v>
      </c>
      <c r="K50" s="187">
        <f>D49*2</f>
        <v>14</v>
      </c>
      <c r="L50" s="297" t="s">
        <v>142</v>
      </c>
      <c r="M50" s="306"/>
      <c r="N50" s="306">
        <v>1</v>
      </c>
      <c r="O50" s="306">
        <v>0.12</v>
      </c>
      <c r="P50" s="304"/>
      <c r="Q50" s="304">
        <f t="shared" si="6"/>
        <v>1.68</v>
      </c>
      <c r="R50" s="313">
        <f t="shared" si="2"/>
        <v>1.68</v>
      </c>
      <c r="S50" s="313">
        <f t="shared" si="3"/>
        <v>0</v>
      </c>
      <c r="T50" s="313">
        <f t="shared" si="4"/>
        <v>0</v>
      </c>
      <c r="U50" s="313">
        <f t="shared" si="5"/>
        <v>0</v>
      </c>
      <c r="V50" s="313"/>
      <c r="W50" s="304"/>
      <c r="X50" s="304"/>
      <c r="Y50" s="313"/>
      <c r="Z50" s="304"/>
      <c r="AA50" s="304"/>
      <c r="AB50" s="304"/>
      <c r="AC50" s="304"/>
    </row>
    <row r="51" spans="1:29" s="174" customFormat="1" ht="38.25">
      <c r="A51" s="206">
        <v>11</v>
      </c>
      <c r="B51" s="208" t="s">
        <v>241</v>
      </c>
      <c r="C51" s="206" t="s">
        <v>225</v>
      </c>
      <c r="D51" s="181">
        <v>1</v>
      </c>
      <c r="E51" s="211" t="s">
        <v>231</v>
      </c>
      <c r="F51" s="206" t="s">
        <v>227</v>
      </c>
      <c r="G51" s="206">
        <f>D51*1</f>
        <v>1</v>
      </c>
      <c r="H51" s="206" t="s">
        <v>228</v>
      </c>
      <c r="I51" s="206" t="s">
        <v>215</v>
      </c>
      <c r="J51" s="206" t="s">
        <v>215</v>
      </c>
      <c r="K51" s="206" t="s">
        <v>215</v>
      </c>
      <c r="L51" s="181" t="s">
        <v>215</v>
      </c>
      <c r="M51" s="306"/>
      <c r="N51" s="306"/>
      <c r="O51" s="306"/>
      <c r="P51" s="304"/>
      <c r="Q51" s="304"/>
      <c r="R51" s="313"/>
      <c r="S51" s="313"/>
      <c r="T51" s="313"/>
      <c r="U51" s="313"/>
      <c r="V51" s="313"/>
      <c r="W51" s="304"/>
      <c r="X51" s="304"/>
      <c r="Y51" s="313"/>
      <c r="Z51" s="304"/>
      <c r="AA51" s="304"/>
      <c r="AB51" s="304"/>
      <c r="AC51" s="304"/>
    </row>
    <row r="52" spans="1:29" s="174" customFormat="1">
      <c r="A52" s="246">
        <v>12</v>
      </c>
      <c r="B52" s="260" t="s">
        <v>232</v>
      </c>
      <c r="C52" s="246" t="s">
        <v>225</v>
      </c>
      <c r="D52" s="246">
        <f>D51*1</f>
        <v>1</v>
      </c>
      <c r="E52" s="246" t="s">
        <v>215</v>
      </c>
      <c r="F52" s="246" t="s">
        <v>215</v>
      </c>
      <c r="G52" s="246" t="s">
        <v>215</v>
      </c>
      <c r="H52" s="246" t="s">
        <v>215</v>
      </c>
      <c r="I52" s="211" t="s">
        <v>231</v>
      </c>
      <c r="J52" s="206" t="s">
        <v>227</v>
      </c>
      <c r="K52" s="206">
        <f>D52*1</f>
        <v>1</v>
      </c>
      <c r="L52" s="181" t="s">
        <v>228</v>
      </c>
      <c r="M52" s="306"/>
      <c r="N52" s="306"/>
      <c r="O52" s="304"/>
      <c r="P52" s="304"/>
      <c r="Q52" s="304"/>
      <c r="R52" s="313"/>
      <c r="S52" s="313"/>
      <c r="T52" s="313"/>
      <c r="U52" s="313"/>
      <c r="V52" s="313"/>
      <c r="W52" s="304"/>
      <c r="X52" s="304"/>
      <c r="Y52" s="313"/>
      <c r="Z52" s="304"/>
      <c r="AA52" s="304"/>
      <c r="AB52" s="304"/>
      <c r="AC52" s="304"/>
    </row>
    <row r="53" spans="1:29" s="174" customFormat="1">
      <c r="A53" s="247"/>
      <c r="B53" s="269"/>
      <c r="C53" s="247"/>
      <c r="D53" s="247"/>
      <c r="E53" s="247"/>
      <c r="F53" s="247"/>
      <c r="G53" s="247"/>
      <c r="H53" s="247"/>
      <c r="I53" s="186" t="s">
        <v>221</v>
      </c>
      <c r="J53" s="212" t="s">
        <v>170</v>
      </c>
      <c r="K53" s="212">
        <v>30</v>
      </c>
      <c r="L53" s="181" t="s">
        <v>142</v>
      </c>
      <c r="M53" s="306"/>
      <c r="N53" s="306">
        <v>1</v>
      </c>
      <c r="O53" s="304">
        <v>0.88800000000000001</v>
      </c>
      <c r="P53" s="304"/>
      <c r="Q53" s="304">
        <f>O53*K53</f>
        <v>26.64</v>
      </c>
      <c r="R53" s="313">
        <f>IF(N53=$R$14,Q53,0)</f>
        <v>26.64</v>
      </c>
      <c r="S53" s="313">
        <f t="shared" ref="S53:S54" si="7">IF(N53=$S$14,Q53,0)</f>
        <v>0</v>
      </c>
      <c r="T53" s="313">
        <f t="shared" ref="T53:T54" si="8">IF(N53=$T$14,Q53,0)</f>
        <v>0</v>
      </c>
      <c r="U53" s="313">
        <f t="shared" ref="U53:U54" si="9">IF(N53=$U$14,Q53,0)</f>
        <v>0</v>
      </c>
      <c r="V53" s="313"/>
      <c r="W53" s="304"/>
      <c r="X53" s="304"/>
      <c r="Y53" s="313"/>
      <c r="Z53" s="304"/>
      <c r="AA53" s="304"/>
      <c r="AB53" s="304"/>
      <c r="AC53" s="304"/>
    </row>
    <row r="54" spans="1:29" s="174" customFormat="1">
      <c r="A54" s="247"/>
      <c r="B54" s="269"/>
      <c r="C54" s="247"/>
      <c r="D54" s="247"/>
      <c r="E54" s="247"/>
      <c r="F54" s="247"/>
      <c r="G54" s="247"/>
      <c r="H54" s="247"/>
      <c r="I54" s="186" t="s">
        <v>222</v>
      </c>
      <c r="J54" s="187" t="s">
        <v>217</v>
      </c>
      <c r="K54" s="187">
        <v>3</v>
      </c>
      <c r="L54" s="297" t="s">
        <v>142</v>
      </c>
      <c r="M54" s="306"/>
      <c r="N54" s="306">
        <v>1</v>
      </c>
      <c r="O54" s="306">
        <v>0.25</v>
      </c>
      <c r="P54" s="304"/>
      <c r="Q54" s="304">
        <f t="shared" ref="Q54" si="10">O54*K54</f>
        <v>0.75</v>
      </c>
      <c r="R54" s="313">
        <f t="shared" ref="R54" si="11">IF(N54=$R$14,Q54,0)</f>
        <v>0.75</v>
      </c>
      <c r="S54" s="313">
        <f t="shared" si="7"/>
        <v>0</v>
      </c>
      <c r="T54" s="313">
        <f t="shared" si="8"/>
        <v>0</v>
      </c>
      <c r="U54" s="313">
        <f t="shared" si="9"/>
        <v>0</v>
      </c>
      <c r="V54" s="313"/>
      <c r="W54" s="304"/>
      <c r="X54" s="304"/>
      <c r="Y54" s="313"/>
      <c r="Z54" s="304"/>
      <c r="AA54" s="304"/>
      <c r="AB54" s="304"/>
      <c r="AC54" s="304"/>
    </row>
    <row r="55" spans="1:29" s="174" customFormat="1" ht="31.5" customHeight="1">
      <c r="A55" s="259"/>
      <c r="B55" s="261"/>
      <c r="C55" s="259"/>
      <c r="D55" s="259"/>
      <c r="E55" s="259"/>
      <c r="F55" s="259"/>
      <c r="G55" s="259"/>
      <c r="H55" s="259"/>
      <c r="I55" s="188" t="s">
        <v>248</v>
      </c>
      <c r="J55" s="187" t="s">
        <v>217</v>
      </c>
      <c r="K55" s="187">
        <f>D52*4</f>
        <v>4</v>
      </c>
      <c r="L55" s="297" t="s">
        <v>142</v>
      </c>
      <c r="M55" s="306"/>
      <c r="N55" s="306">
        <v>1</v>
      </c>
      <c r="O55" s="306">
        <v>0.12</v>
      </c>
      <c r="P55" s="304"/>
      <c r="Q55" s="304">
        <f t="shared" si="6"/>
        <v>0.48</v>
      </c>
      <c r="R55" s="313">
        <f t="shared" si="2"/>
        <v>0.48</v>
      </c>
      <c r="S55" s="313">
        <f t="shared" si="3"/>
        <v>0</v>
      </c>
      <c r="T55" s="313">
        <f t="shared" si="4"/>
        <v>0</v>
      </c>
      <c r="U55" s="313">
        <f t="shared" si="5"/>
        <v>0</v>
      </c>
      <c r="V55" s="313"/>
      <c r="W55" s="304"/>
      <c r="X55" s="304"/>
      <c r="Y55" s="313"/>
      <c r="Z55" s="304"/>
      <c r="AA55" s="304"/>
      <c r="AB55" s="304"/>
      <c r="AC55" s="304"/>
    </row>
    <row r="56" spans="1:29" s="174" customFormat="1">
      <c r="A56" s="256" t="s">
        <v>243</v>
      </c>
      <c r="B56" s="257"/>
      <c r="C56" s="257"/>
      <c r="D56" s="257"/>
      <c r="E56" s="257"/>
      <c r="F56" s="257"/>
      <c r="G56" s="257"/>
      <c r="H56" s="257"/>
      <c r="I56" s="257"/>
      <c r="J56" s="257"/>
      <c r="K56" s="257"/>
      <c r="L56" s="258"/>
      <c r="M56" s="306"/>
      <c r="N56" s="306"/>
      <c r="O56" s="306"/>
      <c r="P56" s="306"/>
      <c r="Q56" s="304"/>
      <c r="R56" s="306"/>
      <c r="S56" s="306"/>
      <c r="T56" s="306"/>
      <c r="U56" s="306"/>
      <c r="V56" s="304"/>
      <c r="W56" s="304"/>
      <c r="X56" s="304"/>
      <c r="Y56" s="304"/>
      <c r="Z56" s="304"/>
      <c r="AA56" s="304"/>
      <c r="AB56" s="304"/>
      <c r="AC56" s="304"/>
    </row>
    <row r="57" spans="1:29" s="174" customFormat="1" ht="29.25" customHeight="1">
      <c r="A57" s="206">
        <v>13</v>
      </c>
      <c r="B57" s="208" t="s">
        <v>238</v>
      </c>
      <c r="C57" s="206" t="s">
        <v>15</v>
      </c>
      <c r="D57" s="181">
        <v>8</v>
      </c>
      <c r="E57" s="211" t="s">
        <v>30</v>
      </c>
      <c r="F57" s="206" t="s">
        <v>217</v>
      </c>
      <c r="G57" s="206">
        <f>D57*1</f>
        <v>8</v>
      </c>
      <c r="H57" s="206" t="s">
        <v>228</v>
      </c>
      <c r="I57" s="206" t="s">
        <v>215</v>
      </c>
      <c r="J57" s="206" t="s">
        <v>215</v>
      </c>
      <c r="K57" s="206" t="s">
        <v>215</v>
      </c>
      <c r="L57" s="181" t="s">
        <v>215</v>
      </c>
      <c r="M57" s="306"/>
      <c r="N57" s="306"/>
      <c r="O57" s="306"/>
      <c r="P57" s="306"/>
      <c r="Q57" s="304"/>
      <c r="R57" s="306"/>
      <c r="S57" s="306"/>
      <c r="T57" s="306"/>
      <c r="U57" s="306"/>
      <c r="V57" s="304"/>
      <c r="W57" s="304"/>
      <c r="X57" s="304"/>
      <c r="Y57" s="304"/>
      <c r="Z57" s="304"/>
      <c r="AA57" s="304"/>
      <c r="AB57" s="304"/>
      <c r="AC57" s="304"/>
    </row>
    <row r="58" spans="1:29" s="174" customFormat="1" outlineLevel="1">
      <c r="A58" s="246">
        <v>14</v>
      </c>
      <c r="B58" s="260" t="s">
        <v>242</v>
      </c>
      <c r="C58" s="246" t="s">
        <v>15</v>
      </c>
      <c r="D58" s="246">
        <f>D57*1</f>
        <v>8</v>
      </c>
      <c r="E58" s="246" t="s">
        <v>215</v>
      </c>
      <c r="F58" s="246" t="s">
        <v>215</v>
      </c>
      <c r="G58" s="246" t="s">
        <v>215</v>
      </c>
      <c r="H58" s="246" t="s">
        <v>215</v>
      </c>
      <c r="I58" s="211" t="s">
        <v>30</v>
      </c>
      <c r="J58" s="206" t="s">
        <v>217</v>
      </c>
      <c r="K58" s="206">
        <f>D58*1</f>
        <v>8</v>
      </c>
      <c r="L58" s="181" t="s">
        <v>228</v>
      </c>
      <c r="M58" s="306"/>
      <c r="N58" s="306"/>
      <c r="O58" s="306"/>
      <c r="P58" s="306"/>
      <c r="Q58" s="304"/>
      <c r="R58" s="306"/>
      <c r="S58" s="306"/>
      <c r="T58" s="306"/>
      <c r="U58" s="306"/>
      <c r="V58" s="306"/>
      <c r="W58" s="306"/>
      <c r="X58" s="306"/>
      <c r="Y58" s="306"/>
      <c r="Z58" s="304"/>
      <c r="AA58" s="304"/>
      <c r="AB58" s="304"/>
      <c r="AC58" s="304"/>
    </row>
    <row r="59" spans="1:29" s="174" customFormat="1" ht="27.75" customHeight="1" outlineLevel="1">
      <c r="A59" s="259"/>
      <c r="B59" s="261"/>
      <c r="C59" s="259"/>
      <c r="D59" s="259"/>
      <c r="E59" s="259"/>
      <c r="F59" s="259"/>
      <c r="G59" s="259"/>
      <c r="H59" s="259"/>
      <c r="I59" s="211" t="s">
        <v>230</v>
      </c>
      <c r="J59" s="206" t="s">
        <v>217</v>
      </c>
      <c r="K59" s="206">
        <f>K58*2</f>
        <v>16</v>
      </c>
      <c r="L59" s="189" t="s">
        <v>142</v>
      </c>
      <c r="M59" s="306"/>
      <c r="N59" s="306">
        <v>1</v>
      </c>
      <c r="O59" s="304">
        <v>0.22</v>
      </c>
      <c r="P59" s="304"/>
      <c r="Q59" s="304">
        <f>O59*K59</f>
        <v>3.52</v>
      </c>
      <c r="R59" s="313">
        <f>IF(N59=$R$14,Q59,0)</f>
        <v>3.52</v>
      </c>
      <c r="S59" s="313">
        <f>IF(N59=$S$14,Q59,0)</f>
        <v>0</v>
      </c>
      <c r="T59" s="313">
        <f>IF(N59=$T$14,Q59,0)</f>
        <v>0</v>
      </c>
      <c r="U59" s="313">
        <f>IF(N59=$U$14,Q59,0)</f>
        <v>0</v>
      </c>
      <c r="V59" s="304"/>
      <c r="W59" s="304"/>
      <c r="X59" s="304"/>
      <c r="Y59" s="304"/>
      <c r="Z59" s="304"/>
      <c r="AA59" s="304"/>
      <c r="AB59" s="304"/>
      <c r="AC59" s="304"/>
    </row>
    <row r="60" spans="1:29" s="174" customFormat="1" ht="15" outlineLevel="1">
      <c r="A60" s="262" t="s">
        <v>187</v>
      </c>
      <c r="B60" s="263"/>
      <c r="C60" s="263"/>
      <c r="D60" s="263"/>
      <c r="E60" s="263"/>
      <c r="F60" s="263"/>
      <c r="G60" s="263"/>
      <c r="H60" s="263"/>
      <c r="I60" s="263"/>
      <c r="J60" s="263"/>
      <c r="K60" s="263"/>
      <c r="L60" s="264"/>
      <c r="M60" s="314"/>
      <c r="N60" s="314"/>
      <c r="O60" s="314"/>
      <c r="P60" s="314"/>
      <c r="Q60" s="315">
        <f>+SUM(Q21:Q59)</f>
        <v>21494.488079999999</v>
      </c>
      <c r="R60" s="315">
        <f>+SUM(R21:R59)</f>
        <v>21450.788080000002</v>
      </c>
      <c r="S60" s="315">
        <f>+SUM(S21:S59)</f>
        <v>0</v>
      </c>
      <c r="T60" s="315">
        <f>+SUM(T21:T59)</f>
        <v>43.699999999999996</v>
      </c>
      <c r="U60" s="316">
        <f>+SUM(U21:U59)</f>
        <v>0</v>
      </c>
      <c r="V60" s="304"/>
      <c r="W60" s="304"/>
      <c r="X60" s="304"/>
      <c r="Y60" s="304"/>
      <c r="Z60" s="304"/>
      <c r="AA60" s="304"/>
      <c r="AB60" s="304"/>
      <c r="AC60" s="304"/>
    </row>
    <row r="61" spans="1:29" s="174" customFormat="1" ht="15" outlineLevel="1">
      <c r="A61" s="190" t="s">
        <v>189</v>
      </c>
      <c r="B61" s="265" t="s">
        <v>151</v>
      </c>
      <c r="C61" s="265"/>
      <c r="D61" s="265"/>
      <c r="E61" s="265"/>
      <c r="F61" s="265"/>
      <c r="G61" s="265"/>
      <c r="H61" s="265"/>
      <c r="I61" s="265"/>
      <c r="J61" s="265"/>
      <c r="K61" s="265"/>
      <c r="L61" s="265"/>
      <c r="M61" s="317"/>
      <c r="N61" s="317"/>
      <c r="O61" s="317"/>
      <c r="P61" s="317"/>
      <c r="Q61" s="317"/>
      <c r="R61" s="317"/>
      <c r="S61" s="317"/>
      <c r="T61" s="317"/>
      <c r="U61" s="317"/>
      <c r="V61" s="304"/>
      <c r="W61" s="304"/>
      <c r="X61" s="304"/>
      <c r="Y61" s="304"/>
      <c r="Z61" s="304"/>
      <c r="AA61" s="304"/>
      <c r="AB61" s="304"/>
      <c r="AC61" s="304"/>
    </row>
    <row r="62" spans="1:29" s="174" customFormat="1" ht="36" customHeight="1" outlineLevel="1">
      <c r="A62" s="116" t="s">
        <v>193</v>
      </c>
      <c r="B62" s="166" t="s">
        <v>329</v>
      </c>
      <c r="C62" s="12" t="s">
        <v>156</v>
      </c>
      <c r="D62" s="16">
        <f>+R75/1000</f>
        <v>21.24</v>
      </c>
      <c r="E62" s="23"/>
      <c r="F62" s="23"/>
      <c r="G62" s="175"/>
      <c r="H62" s="175"/>
      <c r="I62" s="18"/>
      <c r="J62" s="172"/>
      <c r="K62" s="10"/>
      <c r="L62" s="301"/>
      <c r="M62" s="314"/>
      <c r="N62" s="314"/>
      <c r="O62" s="314"/>
      <c r="P62" s="314"/>
      <c r="Q62" s="314"/>
      <c r="R62" s="314"/>
      <c r="S62" s="314"/>
      <c r="T62" s="314"/>
      <c r="U62" s="314"/>
      <c r="V62" s="304"/>
      <c r="W62" s="304"/>
      <c r="X62" s="304"/>
      <c r="Y62" s="304"/>
      <c r="Z62" s="304"/>
      <c r="AA62" s="304"/>
      <c r="AB62" s="304"/>
      <c r="AC62" s="304"/>
    </row>
    <row r="63" spans="1:29" s="174" customFormat="1" ht="49.5" customHeight="1" outlineLevel="1">
      <c r="A63" s="116" t="s">
        <v>188</v>
      </c>
      <c r="B63" s="166" t="s">
        <v>148</v>
      </c>
      <c r="C63" s="12" t="s">
        <v>156</v>
      </c>
      <c r="D63" s="64">
        <f>+R77/1000</f>
        <v>0.21078808000000207</v>
      </c>
      <c r="E63" s="23"/>
      <c r="F63" s="23"/>
      <c r="G63" s="175"/>
      <c r="H63" s="175"/>
      <c r="I63" s="18"/>
      <c r="J63" s="172"/>
      <c r="K63" s="10"/>
      <c r="L63" s="301"/>
      <c r="M63" s="314"/>
      <c r="N63" s="314"/>
      <c r="O63" s="314"/>
      <c r="P63" s="314"/>
      <c r="Q63" s="314"/>
      <c r="R63" s="314"/>
      <c r="S63" s="314"/>
      <c r="T63" s="314"/>
      <c r="U63" s="314"/>
      <c r="V63" s="304"/>
      <c r="W63" s="304"/>
      <c r="X63" s="304"/>
      <c r="Y63" s="313"/>
      <c r="Z63" s="304"/>
      <c r="AA63" s="304"/>
      <c r="AB63" s="304"/>
      <c r="AC63" s="304"/>
    </row>
    <row r="64" spans="1:29" s="174" customFormat="1" ht="25.5" customHeight="1" outlineLevel="1">
      <c r="A64" s="116" t="s">
        <v>190</v>
      </c>
      <c r="B64" s="265" t="s">
        <v>152</v>
      </c>
      <c r="C64" s="265"/>
      <c r="D64" s="265"/>
      <c r="E64" s="265"/>
      <c r="F64" s="265"/>
      <c r="G64" s="265"/>
      <c r="H64" s="265"/>
      <c r="I64" s="265"/>
      <c r="J64" s="265"/>
      <c r="K64" s="265"/>
      <c r="L64" s="265"/>
      <c r="M64" s="317"/>
      <c r="N64" s="317"/>
      <c r="O64" s="317"/>
      <c r="P64" s="317"/>
      <c r="Q64" s="317"/>
      <c r="R64" s="317"/>
      <c r="S64" s="317"/>
      <c r="T64" s="317"/>
      <c r="U64" s="317"/>
      <c r="V64" s="304"/>
      <c r="W64" s="304"/>
      <c r="X64" s="304"/>
      <c r="Y64" s="313"/>
      <c r="Z64" s="304"/>
      <c r="AA64" s="304"/>
      <c r="AB64" s="304"/>
      <c r="AC64" s="304"/>
    </row>
    <row r="65" spans="1:29" s="174" customFormat="1" ht="60.75" customHeight="1" outlineLevel="1">
      <c r="A65" s="116" t="s">
        <v>191</v>
      </c>
      <c r="B65" s="234" t="str">
        <f>CONCATENATE("Перевозка грузов автомобилями бортовыми грузоподъемностью до 15т, на расстояние до ",F77," км I класс груза")</f>
        <v>Перевозка грузов автомобилями бортовыми грузоподъемностью до 15т, на расстояние до 480 км I класс груза</v>
      </c>
      <c r="C65" s="12" t="s">
        <v>156</v>
      </c>
      <c r="D65" s="64">
        <f>+D62+D63</f>
        <v>21.450788079999999</v>
      </c>
      <c r="E65" s="23"/>
      <c r="F65" s="23"/>
      <c r="G65" s="23"/>
      <c r="H65" s="23"/>
      <c r="I65" s="23"/>
      <c r="J65" s="172"/>
      <c r="K65" s="10"/>
      <c r="L65" s="301"/>
      <c r="M65" s="314"/>
      <c r="N65" s="314"/>
      <c r="O65" s="314"/>
      <c r="P65" s="314"/>
      <c r="Q65" s="314"/>
      <c r="R65" s="314"/>
      <c r="S65" s="314"/>
      <c r="T65" s="314"/>
      <c r="U65" s="314"/>
      <c r="V65" s="306"/>
      <c r="W65" s="306"/>
      <c r="X65" s="304"/>
      <c r="Y65" s="313"/>
      <c r="Z65" s="304"/>
      <c r="AA65" s="304"/>
      <c r="AB65" s="304"/>
      <c r="AC65" s="304"/>
    </row>
    <row r="66" spans="1:29" s="174" customFormat="1" ht="14.25" outlineLevel="1">
      <c r="A66" s="116"/>
      <c r="B66" s="160"/>
      <c r="C66" s="12"/>
      <c r="D66" s="64"/>
      <c r="E66" s="32"/>
      <c r="F66" s="23"/>
      <c r="G66" s="175"/>
      <c r="H66" s="175"/>
      <c r="I66" s="175"/>
      <c r="J66" s="172"/>
      <c r="K66" s="10"/>
      <c r="L66" s="301"/>
      <c r="M66" s="314"/>
      <c r="N66" s="314"/>
      <c r="O66" s="314"/>
      <c r="P66" s="314"/>
      <c r="Q66" s="314"/>
      <c r="R66" s="314"/>
      <c r="S66" s="314"/>
      <c r="T66" s="314"/>
      <c r="U66" s="314"/>
      <c r="V66" s="306"/>
      <c r="W66" s="304"/>
      <c r="X66" s="304"/>
      <c r="Y66" s="313"/>
      <c r="Z66" s="304"/>
      <c r="AA66" s="304"/>
      <c r="AB66" s="304"/>
      <c r="AC66" s="304"/>
    </row>
    <row r="67" spans="1:29" s="174" customFormat="1" ht="19.5" customHeight="1" outlineLevel="1">
      <c r="A67" s="116" t="s">
        <v>194</v>
      </c>
      <c r="B67" s="265" t="s">
        <v>204</v>
      </c>
      <c r="C67" s="265"/>
      <c r="D67" s="265"/>
      <c r="E67" s="265"/>
      <c r="F67" s="265"/>
      <c r="G67" s="265"/>
      <c r="H67" s="265"/>
      <c r="I67" s="265"/>
      <c r="J67" s="265"/>
      <c r="K67" s="265"/>
      <c r="L67" s="265"/>
      <c r="M67" s="317"/>
      <c r="N67" s="317"/>
      <c r="O67" s="317"/>
      <c r="P67" s="317"/>
      <c r="Q67" s="317"/>
      <c r="R67" s="317"/>
      <c r="S67" s="317"/>
      <c r="T67" s="317"/>
      <c r="U67" s="317"/>
      <c r="V67" s="306"/>
      <c r="W67" s="304"/>
      <c r="X67" s="304"/>
      <c r="Y67" s="313"/>
      <c r="Z67" s="304"/>
      <c r="AA67" s="304"/>
      <c r="AB67" s="304"/>
      <c r="AC67" s="304"/>
    </row>
    <row r="68" spans="1:29" s="174" customFormat="1" ht="25.5" outlineLevel="1">
      <c r="A68" s="116" t="s">
        <v>192</v>
      </c>
      <c r="B68" s="166" t="s">
        <v>149</v>
      </c>
      <c r="C68" s="12" t="s">
        <v>156</v>
      </c>
      <c r="D68" s="16">
        <f>+D62</f>
        <v>21.24</v>
      </c>
      <c r="E68" s="23"/>
      <c r="F68" s="23"/>
      <c r="G68" s="175"/>
      <c r="H68" s="175"/>
      <c r="I68" s="18"/>
      <c r="J68" s="172"/>
      <c r="K68" s="10"/>
      <c r="L68" s="301"/>
      <c r="M68" s="314"/>
      <c r="N68" s="314"/>
      <c r="O68" s="314"/>
      <c r="P68" s="314"/>
      <c r="Q68" s="314"/>
      <c r="R68" s="314"/>
      <c r="S68" s="314"/>
      <c r="T68" s="314"/>
      <c r="U68" s="314"/>
      <c r="V68" s="306"/>
      <c r="W68" s="304"/>
      <c r="X68" s="304"/>
      <c r="Y68" s="313"/>
      <c r="Z68" s="304"/>
      <c r="AA68" s="304"/>
      <c r="AB68" s="304"/>
      <c r="AC68" s="304"/>
    </row>
    <row r="69" spans="1:29" s="174" customFormat="1" ht="47.25" customHeight="1">
      <c r="A69" s="116" t="s">
        <v>195</v>
      </c>
      <c r="B69" s="166" t="s">
        <v>150</v>
      </c>
      <c r="C69" s="12" t="s">
        <v>156</v>
      </c>
      <c r="D69" s="64">
        <f>+D63</f>
        <v>0.21078808000000207</v>
      </c>
      <c r="E69" s="23"/>
      <c r="F69" s="23"/>
      <c r="G69" s="175"/>
      <c r="H69" s="175"/>
      <c r="I69" s="18"/>
      <c r="J69" s="172"/>
      <c r="K69" s="10"/>
      <c r="L69" s="301"/>
      <c r="M69" s="314"/>
      <c r="N69" s="314"/>
      <c r="O69" s="314"/>
      <c r="P69" s="314"/>
      <c r="Q69" s="314"/>
      <c r="R69" s="314"/>
      <c r="S69" s="314"/>
      <c r="T69" s="314"/>
      <c r="U69" s="314"/>
      <c r="V69" s="315"/>
      <c r="W69" s="313"/>
      <c r="X69" s="313">
        <f>SUM(X30:X68)</f>
        <v>0</v>
      </c>
      <c r="Y69" s="313"/>
      <c r="Z69" s="304"/>
      <c r="AA69" s="318">
        <f>SUM(AA30:AA68)</f>
        <v>0</v>
      </c>
      <c r="AB69" s="304"/>
      <c r="AC69" s="304"/>
    </row>
    <row r="70" spans="1:29" s="174" customFormat="1" ht="15">
      <c r="A70" s="116" t="s">
        <v>197</v>
      </c>
      <c r="B70" s="265" t="s">
        <v>153</v>
      </c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317"/>
      <c r="N70" s="317"/>
      <c r="O70" s="317"/>
      <c r="P70" s="317"/>
      <c r="Q70" s="317"/>
      <c r="R70" s="317"/>
      <c r="S70" s="317"/>
      <c r="T70" s="317"/>
      <c r="U70" s="317"/>
      <c r="V70" s="317"/>
      <c r="W70" s="313"/>
      <c r="X70" s="313"/>
      <c r="Y70" s="313"/>
      <c r="Z70" s="304"/>
      <c r="AA70" s="318"/>
      <c r="AB70" s="304"/>
      <c r="AC70" s="304"/>
    </row>
    <row r="71" spans="1:29" s="174" customFormat="1" ht="51">
      <c r="A71" s="116" t="s">
        <v>196</v>
      </c>
      <c r="B71" s="166" t="s">
        <v>154</v>
      </c>
      <c r="C71" s="12" t="s">
        <v>156</v>
      </c>
      <c r="D71" s="64">
        <f>+P76/1000</f>
        <v>4.9800000000000004</v>
      </c>
      <c r="E71" s="23"/>
      <c r="F71" s="23"/>
      <c r="G71" s="175"/>
      <c r="H71" s="175"/>
      <c r="I71" s="18"/>
      <c r="J71" s="172"/>
      <c r="K71" s="10"/>
      <c r="L71" s="301"/>
      <c r="M71" s="314"/>
      <c r="N71" s="314"/>
      <c r="O71" s="314"/>
      <c r="P71" s="314"/>
      <c r="Q71" s="314"/>
      <c r="R71" s="314"/>
      <c r="S71" s="314"/>
      <c r="T71" s="314"/>
      <c r="U71" s="314"/>
      <c r="V71" s="314"/>
      <c r="W71" s="313"/>
      <c r="X71" s="313"/>
      <c r="Y71" s="313"/>
      <c r="Z71" s="304"/>
      <c r="AA71" s="318"/>
      <c r="AB71" s="304"/>
      <c r="AC71" s="304"/>
    </row>
    <row r="72" spans="1:29" s="174" customFormat="1" ht="63.75">
      <c r="A72" s="116" t="s">
        <v>198</v>
      </c>
      <c r="B72" s="166" t="s">
        <v>155</v>
      </c>
      <c r="C72" s="12" t="s">
        <v>156</v>
      </c>
      <c r="D72" s="64">
        <f>+P77/1000</f>
        <v>2.8800000000000183E-2</v>
      </c>
      <c r="E72" s="23"/>
      <c r="F72" s="23"/>
      <c r="G72" s="175"/>
      <c r="H72" s="175"/>
      <c r="I72" s="18"/>
      <c r="J72" s="172"/>
      <c r="K72" s="10"/>
      <c r="L72" s="301"/>
      <c r="M72" s="314"/>
      <c r="N72" s="314"/>
      <c r="O72" s="314"/>
      <c r="P72" s="314"/>
      <c r="Q72" s="314"/>
      <c r="R72" s="314"/>
      <c r="S72" s="314"/>
      <c r="T72" s="314"/>
      <c r="U72" s="314"/>
      <c r="V72" s="314"/>
      <c r="W72" s="313"/>
      <c r="X72" s="313"/>
      <c r="Y72" s="313"/>
      <c r="Z72" s="304"/>
      <c r="AA72" s="318"/>
      <c r="AB72" s="304"/>
      <c r="AC72" s="304"/>
    </row>
    <row r="73" spans="1:29" s="174" customFormat="1" ht="63.75">
      <c r="A73" s="116" t="s">
        <v>199</v>
      </c>
      <c r="B73" s="234" t="str">
        <f>CONCATENATE("Перевозка строительного мусора автомобилями-самосвалами  грузоподъемностью до 10т, на расстояние до ",F78," км I класс груза")</f>
        <v>Перевозка строительного мусора автомобилями-самосвалами  грузоподъемностью до 10т, на расстояние до 6 км I класс груза</v>
      </c>
      <c r="C73" s="12" t="s">
        <v>156</v>
      </c>
      <c r="D73" s="64">
        <f>+D71+D72</f>
        <v>5.0088000000000008</v>
      </c>
      <c r="E73" s="23"/>
      <c r="F73" s="23"/>
      <c r="G73" s="175"/>
      <c r="H73" s="175"/>
      <c r="I73" s="18"/>
      <c r="J73" s="172"/>
      <c r="K73" s="10"/>
      <c r="L73" s="301"/>
      <c r="M73" s="314"/>
      <c r="N73" s="314"/>
      <c r="O73" s="314"/>
      <c r="P73" s="314"/>
      <c r="Q73" s="314"/>
      <c r="R73" s="314">
        <v>1</v>
      </c>
      <c r="S73" s="314">
        <v>2</v>
      </c>
      <c r="T73" s="314">
        <v>3</v>
      </c>
      <c r="U73" s="314">
        <v>4</v>
      </c>
      <c r="V73" s="317"/>
      <c r="W73" s="313"/>
      <c r="X73" s="313"/>
      <c r="Y73" s="313"/>
      <c r="Z73" s="304"/>
      <c r="AA73" s="318"/>
      <c r="AB73" s="304"/>
      <c r="AC73" s="304"/>
    </row>
    <row r="74" spans="1:29" s="174" customFormat="1">
      <c r="A74" s="24"/>
      <c r="B74" s="25" t="s">
        <v>157</v>
      </c>
      <c r="C74" s="26"/>
      <c r="D74" s="27"/>
      <c r="G74" s="177"/>
      <c r="H74" s="177"/>
      <c r="I74" s="28"/>
      <c r="J74" s="29"/>
      <c r="K74" s="30"/>
      <c r="L74" s="177"/>
      <c r="M74" s="314"/>
      <c r="N74" s="314"/>
      <c r="O74" s="314" t="s">
        <v>167</v>
      </c>
      <c r="P74" s="319">
        <f>SUM(P17:P20)</f>
        <v>5008.8</v>
      </c>
      <c r="Q74" s="304" t="s">
        <v>175</v>
      </c>
      <c r="R74" s="320">
        <f>+R60</f>
        <v>21450.788080000002</v>
      </c>
      <c r="S74" s="320">
        <f t="shared" ref="S74:U74" si="12">+S60</f>
        <v>0</v>
      </c>
      <c r="T74" s="320">
        <f t="shared" si="12"/>
        <v>43.699999999999996</v>
      </c>
      <c r="U74" s="321">
        <f t="shared" si="12"/>
        <v>0</v>
      </c>
      <c r="V74" s="314"/>
      <c r="W74" s="313"/>
      <c r="X74" s="313"/>
      <c r="Y74" s="313"/>
      <c r="Z74" s="304"/>
      <c r="AA74" s="318"/>
      <c r="AB74" s="304"/>
      <c r="AC74" s="304"/>
    </row>
    <row r="75" spans="1:29" s="174" customFormat="1" hidden="1" outlineLevel="1">
      <c r="A75" s="24"/>
      <c r="B75" s="139" t="s">
        <v>158</v>
      </c>
      <c r="D75" s="27"/>
      <c r="F75" s="162">
        <v>6</v>
      </c>
      <c r="G75" s="140" t="s">
        <v>14</v>
      </c>
      <c r="H75" s="177"/>
      <c r="I75" s="28"/>
      <c r="J75" s="29"/>
      <c r="K75" s="30"/>
      <c r="L75" s="177"/>
      <c r="M75" s="314"/>
      <c r="N75" s="314"/>
      <c r="O75" s="314"/>
      <c r="P75" s="319"/>
      <c r="Q75" s="304" t="s">
        <v>239</v>
      </c>
      <c r="R75" s="320">
        <f>+R76</f>
        <v>21240</v>
      </c>
      <c r="S75" s="320"/>
      <c r="T75" s="320"/>
      <c r="U75" s="320"/>
      <c r="V75" s="314"/>
      <c r="W75" s="313"/>
      <c r="X75" s="313"/>
      <c r="Y75" s="313"/>
      <c r="Z75" s="304"/>
      <c r="AA75" s="318"/>
      <c r="AB75" s="304"/>
      <c r="AC75" s="304"/>
    </row>
    <row r="76" spans="1:29" s="174" customFormat="1" ht="15" collapsed="1">
      <c r="A76" s="24"/>
      <c r="B76" s="25" t="s">
        <v>159</v>
      </c>
      <c r="D76" s="27"/>
      <c r="F76" s="163">
        <f>+R76/1000</f>
        <v>21.24</v>
      </c>
      <c r="G76" s="140" t="s">
        <v>27</v>
      </c>
      <c r="H76" s="177"/>
      <c r="I76" s="28"/>
      <c r="J76" s="29"/>
      <c r="K76" s="30"/>
      <c r="L76" s="177"/>
      <c r="M76" s="314"/>
      <c r="N76" s="314"/>
      <c r="O76" s="314" t="s">
        <v>176</v>
      </c>
      <c r="P76" s="319">
        <f>+P17+P19</f>
        <v>4980</v>
      </c>
      <c r="Q76" s="314" t="s">
        <v>172</v>
      </c>
      <c r="R76" s="315">
        <f>R22+R28+R35</f>
        <v>21240</v>
      </c>
      <c r="S76" s="314"/>
      <c r="T76" s="304"/>
      <c r="U76" s="314"/>
      <c r="V76" s="317"/>
      <c r="W76" s="313"/>
      <c r="X76" s="313"/>
      <c r="Y76" s="313"/>
      <c r="Z76" s="304"/>
      <c r="AA76" s="318"/>
      <c r="AB76" s="304"/>
      <c r="AC76" s="304"/>
    </row>
    <row r="77" spans="1:29" s="174" customFormat="1">
      <c r="A77" s="24"/>
      <c r="B77" s="174" t="s">
        <v>213</v>
      </c>
      <c r="F77" s="161">
        <v>480</v>
      </c>
      <c r="G77" s="174" t="s">
        <v>14</v>
      </c>
      <c r="H77" s="177"/>
      <c r="I77" s="28"/>
      <c r="J77" s="29"/>
      <c r="K77" s="30"/>
      <c r="L77" s="177"/>
      <c r="M77" s="314"/>
      <c r="N77" s="314"/>
      <c r="O77" s="314" t="s">
        <v>33</v>
      </c>
      <c r="P77" s="319">
        <f>+P74-P76</f>
        <v>28.800000000000182</v>
      </c>
      <c r="Q77" s="314" t="s">
        <v>173</v>
      </c>
      <c r="R77" s="315">
        <f>R74-R75</f>
        <v>210.78808000000208</v>
      </c>
      <c r="S77" s="315">
        <f>S74</f>
        <v>0</v>
      </c>
      <c r="T77" s="315">
        <f>T74</f>
        <v>43.699999999999996</v>
      </c>
      <c r="U77" s="315">
        <f>U74</f>
        <v>0</v>
      </c>
      <c r="V77" s="314"/>
      <c r="W77" s="313"/>
      <c r="X77" s="313"/>
      <c r="Y77" s="313"/>
      <c r="Z77" s="304"/>
      <c r="AA77" s="318"/>
      <c r="AB77" s="304"/>
      <c r="AC77" s="304"/>
    </row>
    <row r="78" spans="1:29" s="174" customFormat="1">
      <c r="A78" s="24"/>
      <c r="B78" s="139" t="s">
        <v>153</v>
      </c>
      <c r="D78" s="27"/>
      <c r="F78" s="162">
        <v>6</v>
      </c>
      <c r="G78" s="140" t="s">
        <v>14</v>
      </c>
      <c r="H78" s="177"/>
      <c r="I78" s="28"/>
      <c r="J78" s="29"/>
      <c r="K78" s="30"/>
      <c r="L78" s="177"/>
      <c r="M78" s="314"/>
      <c r="N78" s="314"/>
      <c r="O78" s="314"/>
      <c r="P78" s="314"/>
      <c r="Q78" s="314"/>
      <c r="R78" s="314"/>
      <c r="S78" s="314"/>
      <c r="T78" s="314"/>
      <c r="U78" s="314"/>
      <c r="V78" s="314"/>
      <c r="W78" s="313"/>
      <c r="X78" s="313"/>
      <c r="Y78" s="313"/>
      <c r="Z78" s="304"/>
      <c r="AA78" s="318"/>
      <c r="AB78" s="304"/>
      <c r="AC78" s="304"/>
    </row>
    <row r="79" spans="1:29" s="174" customFormat="1" ht="15">
      <c r="A79" s="24"/>
      <c r="B79" s="139" t="s">
        <v>160</v>
      </c>
      <c r="D79" s="27"/>
      <c r="F79" s="164">
        <f>P74/1000</f>
        <v>5.0087999999999999</v>
      </c>
      <c r="G79" s="140" t="s">
        <v>27</v>
      </c>
      <c r="H79" s="177"/>
      <c r="I79" s="28"/>
      <c r="J79" s="29"/>
      <c r="K79" s="30"/>
      <c r="L79" s="177"/>
      <c r="M79" s="314"/>
      <c r="N79" s="314"/>
      <c r="O79" s="314"/>
      <c r="P79" s="314"/>
      <c r="Q79" s="314"/>
      <c r="R79" s="314">
        <f>+R75+R77+S77+T77+U77-Q60</f>
        <v>0</v>
      </c>
      <c r="S79" s="314"/>
      <c r="T79" s="314"/>
      <c r="U79" s="314"/>
      <c r="V79" s="317"/>
      <c r="W79" s="313"/>
      <c r="X79" s="313"/>
      <c r="Y79" s="313"/>
      <c r="Z79" s="304"/>
      <c r="AA79" s="318"/>
      <c r="AB79" s="304"/>
      <c r="AC79" s="304"/>
    </row>
    <row r="80" spans="1:29" s="174" customFormat="1">
      <c r="A80" s="24"/>
      <c r="B80" s="25"/>
      <c r="C80" s="26"/>
      <c r="D80" s="27"/>
      <c r="G80" s="177"/>
      <c r="H80" s="177"/>
      <c r="I80" s="28"/>
      <c r="J80" s="29"/>
      <c r="K80" s="30"/>
      <c r="L80" s="177"/>
      <c r="M80" s="314"/>
      <c r="N80" s="314"/>
      <c r="O80" s="314"/>
      <c r="P80" s="314"/>
      <c r="Q80" s="314"/>
      <c r="R80" s="314"/>
      <c r="S80" s="314"/>
      <c r="T80" s="314"/>
      <c r="U80" s="314"/>
      <c r="V80" s="314"/>
      <c r="W80" s="313"/>
      <c r="X80" s="313"/>
      <c r="Y80" s="313"/>
      <c r="Z80" s="304"/>
      <c r="AA80" s="318"/>
      <c r="AB80" s="304"/>
      <c r="AC80" s="304"/>
    </row>
    <row r="81" spans="1:29" s="174" customFormat="1">
      <c r="A81" s="24"/>
      <c r="B81" s="139" t="s">
        <v>249</v>
      </c>
      <c r="C81" s="26"/>
      <c r="D81" s="27"/>
      <c r="G81" s="177"/>
      <c r="H81" s="177"/>
      <c r="I81" s="28"/>
      <c r="J81" s="29"/>
      <c r="K81" s="30"/>
      <c r="L81" s="177"/>
      <c r="M81" s="314"/>
      <c r="N81" s="314"/>
      <c r="O81" s="314"/>
      <c r="P81" s="314"/>
      <c r="Q81" s="314"/>
      <c r="R81" s="314"/>
      <c r="S81" s="314"/>
      <c r="T81" s="314"/>
      <c r="U81" s="314"/>
      <c r="V81" s="314"/>
      <c r="W81" s="313"/>
      <c r="X81" s="313"/>
      <c r="Y81" s="313"/>
      <c r="Z81" s="304"/>
      <c r="AA81" s="318"/>
      <c r="AB81" s="304"/>
      <c r="AC81" s="304"/>
    </row>
    <row r="82" spans="1:29" s="174" customFormat="1">
      <c r="A82" s="24"/>
      <c r="B82" s="25"/>
      <c r="C82" s="26"/>
      <c r="D82" s="27"/>
      <c r="G82" s="177"/>
      <c r="H82" s="177"/>
      <c r="I82" s="28"/>
      <c r="J82" s="29"/>
      <c r="K82" s="30"/>
      <c r="L82" s="177"/>
      <c r="M82" s="314"/>
      <c r="N82" s="314"/>
      <c r="O82" s="314"/>
      <c r="P82" s="314"/>
      <c r="Q82" s="314"/>
      <c r="R82" s="314"/>
      <c r="S82" s="314"/>
      <c r="T82" s="314"/>
      <c r="U82" s="314"/>
      <c r="V82" s="314"/>
      <c r="W82" s="313"/>
      <c r="X82" s="313"/>
      <c r="Y82" s="313"/>
      <c r="Z82" s="304"/>
      <c r="AA82" s="318"/>
      <c r="AB82" s="304"/>
      <c r="AC82" s="304"/>
    </row>
    <row r="83" spans="1:29" s="174" customFormat="1">
      <c r="A83" s="255" t="s">
        <v>212</v>
      </c>
      <c r="B83" s="255"/>
      <c r="C83" s="255"/>
      <c r="D83" s="255"/>
      <c r="E83" s="255"/>
      <c r="F83" s="255"/>
      <c r="G83" s="255"/>
      <c r="H83" s="255"/>
      <c r="I83" s="255"/>
      <c r="J83" s="255"/>
      <c r="K83" s="255"/>
      <c r="L83" s="255"/>
      <c r="M83" s="314"/>
      <c r="N83" s="314"/>
      <c r="O83" s="314"/>
      <c r="P83" s="314"/>
      <c r="Q83" s="314"/>
      <c r="R83" s="314"/>
      <c r="S83" s="314"/>
      <c r="T83" s="314"/>
      <c r="U83" s="314"/>
      <c r="V83" s="314"/>
      <c r="W83" s="313"/>
      <c r="X83" s="313"/>
      <c r="Y83" s="313"/>
      <c r="Z83" s="304"/>
      <c r="AA83" s="318"/>
      <c r="AB83" s="304"/>
      <c r="AC83" s="304"/>
    </row>
    <row r="84" spans="1:29" s="174" customFormat="1">
      <c r="A84" s="24"/>
      <c r="B84" s="25"/>
      <c r="C84" s="26"/>
      <c r="D84" s="27"/>
      <c r="G84" s="177"/>
      <c r="H84" s="177"/>
      <c r="I84" s="28"/>
      <c r="J84" s="29"/>
      <c r="K84" s="30"/>
      <c r="L84" s="177"/>
      <c r="M84" s="314"/>
      <c r="N84" s="314"/>
      <c r="O84" s="314"/>
      <c r="P84" s="314"/>
      <c r="Q84" s="314"/>
      <c r="R84" s="314"/>
      <c r="S84" s="314"/>
      <c r="T84" s="314"/>
      <c r="U84" s="314"/>
      <c r="V84" s="314"/>
      <c r="W84" s="313"/>
      <c r="X84" s="313"/>
      <c r="Y84" s="313"/>
      <c r="Z84" s="304"/>
      <c r="AA84" s="318"/>
      <c r="AB84" s="304"/>
      <c r="AC84" s="304"/>
    </row>
    <row r="85" spans="1:29" s="174" customFormat="1">
      <c r="A85" s="24"/>
      <c r="B85" s="25"/>
      <c r="C85" s="26"/>
      <c r="D85" s="27"/>
      <c r="G85" s="177"/>
      <c r="H85" s="177"/>
      <c r="I85" s="28"/>
      <c r="J85" s="29"/>
      <c r="K85" s="30"/>
      <c r="L85" s="177"/>
      <c r="M85" s="314"/>
      <c r="N85" s="314"/>
      <c r="O85" s="314"/>
      <c r="P85" s="314"/>
      <c r="Q85" s="314"/>
      <c r="R85" s="314"/>
      <c r="S85" s="314"/>
      <c r="T85" s="314"/>
      <c r="U85" s="314"/>
      <c r="V85" s="314"/>
      <c r="W85" s="313"/>
      <c r="X85" s="313"/>
      <c r="Y85" s="313"/>
      <c r="Z85" s="304"/>
      <c r="AA85" s="318"/>
      <c r="AB85" s="304"/>
      <c r="AC85" s="304"/>
    </row>
    <row r="86" spans="1:29" s="174" customFormat="1">
      <c r="A86" s="24"/>
      <c r="B86" s="25"/>
      <c r="C86" s="26"/>
      <c r="D86" s="27"/>
      <c r="G86" s="177"/>
      <c r="H86" s="177"/>
      <c r="I86" s="28"/>
      <c r="J86" s="29"/>
      <c r="K86" s="30"/>
      <c r="L86" s="177"/>
      <c r="M86" s="314"/>
      <c r="N86" s="314"/>
      <c r="O86" s="314"/>
      <c r="P86" s="314"/>
      <c r="Q86" s="314"/>
      <c r="R86" s="314"/>
      <c r="S86" s="314"/>
      <c r="T86" s="314"/>
      <c r="U86" s="314"/>
      <c r="V86" s="314"/>
      <c r="W86" s="313"/>
      <c r="X86" s="313"/>
      <c r="Y86" s="313"/>
      <c r="Z86" s="304"/>
      <c r="AA86" s="318"/>
      <c r="AB86" s="304"/>
      <c r="AC86" s="304"/>
    </row>
    <row r="87" spans="1:29" s="174" customFormat="1">
      <c r="A87" s="24"/>
      <c r="B87" s="25"/>
      <c r="C87" s="26"/>
      <c r="D87" s="27"/>
      <c r="G87" s="177"/>
      <c r="H87" s="177"/>
      <c r="I87" s="28"/>
      <c r="J87" s="29"/>
      <c r="K87" s="30"/>
      <c r="L87" s="177"/>
      <c r="M87" s="314"/>
      <c r="N87" s="314"/>
      <c r="O87" s="314"/>
      <c r="P87" s="314"/>
      <c r="Q87" s="314"/>
      <c r="R87" s="314"/>
      <c r="S87" s="314"/>
      <c r="T87" s="314"/>
      <c r="U87" s="314"/>
      <c r="V87" s="314"/>
      <c r="W87" s="313"/>
      <c r="X87" s="313"/>
      <c r="Y87" s="313"/>
      <c r="Z87" s="304"/>
      <c r="AA87" s="318"/>
      <c r="AB87" s="304"/>
      <c r="AC87" s="304"/>
    </row>
    <row r="88" spans="1:29" s="174" customFormat="1">
      <c r="A88" s="24"/>
      <c r="B88" s="178" t="s">
        <v>130</v>
      </c>
      <c r="C88" s="178"/>
      <c r="D88" s="178" t="s">
        <v>131</v>
      </c>
      <c r="G88" s="177"/>
      <c r="H88" s="177"/>
      <c r="I88" s="28"/>
      <c r="J88" s="29"/>
      <c r="K88" s="30"/>
      <c r="L88" s="177"/>
      <c r="M88" s="313"/>
      <c r="N88" s="313"/>
      <c r="O88" s="313"/>
      <c r="P88" s="313"/>
      <c r="Q88" s="313"/>
      <c r="R88" s="313"/>
      <c r="S88" s="313"/>
      <c r="T88" s="313"/>
      <c r="U88" s="313"/>
      <c r="V88" s="314"/>
      <c r="W88" s="313"/>
      <c r="X88" s="313"/>
      <c r="Y88" s="313"/>
      <c r="Z88" s="304"/>
      <c r="AA88" s="318"/>
      <c r="AB88" s="304"/>
      <c r="AC88" s="304"/>
    </row>
    <row r="89" spans="1:29" s="174" customFormat="1">
      <c r="A89" s="24"/>
      <c r="B89" s="178"/>
      <c r="C89" s="178"/>
      <c r="D89" s="178"/>
      <c r="G89" s="177"/>
      <c r="H89" s="177"/>
      <c r="I89" s="28"/>
      <c r="J89" s="29"/>
      <c r="K89" s="30"/>
      <c r="L89" s="177"/>
      <c r="M89" s="313"/>
      <c r="N89" s="313"/>
      <c r="O89" s="313"/>
      <c r="P89" s="313"/>
      <c r="Q89" s="313"/>
      <c r="R89" s="313"/>
      <c r="S89" s="313"/>
      <c r="T89" s="313"/>
      <c r="U89" s="313"/>
      <c r="V89" s="314"/>
      <c r="W89" s="313"/>
      <c r="X89" s="313"/>
      <c r="Y89" s="313"/>
      <c r="Z89" s="304"/>
      <c r="AA89" s="318"/>
      <c r="AB89" s="304"/>
      <c r="AC89" s="304"/>
    </row>
    <row r="90" spans="1:29" s="174" customFormat="1">
      <c r="A90" s="24"/>
      <c r="B90" s="178" t="s">
        <v>132</v>
      </c>
      <c r="C90" s="178"/>
      <c r="D90" s="178"/>
      <c r="G90" s="177"/>
      <c r="H90" s="177"/>
      <c r="I90" s="28"/>
      <c r="J90" s="29"/>
      <c r="K90" s="30"/>
      <c r="L90" s="177"/>
      <c r="M90" s="313"/>
      <c r="N90" s="313"/>
      <c r="O90" s="313"/>
      <c r="P90" s="313"/>
      <c r="Q90" s="313"/>
      <c r="R90" s="313"/>
      <c r="S90" s="313"/>
      <c r="T90" s="313"/>
      <c r="U90" s="313"/>
      <c r="V90" s="314"/>
      <c r="W90" s="313"/>
      <c r="X90" s="313"/>
      <c r="Y90" s="313"/>
      <c r="Z90" s="304"/>
      <c r="AA90" s="318"/>
      <c r="AB90" s="304"/>
      <c r="AC90" s="304"/>
    </row>
    <row r="91" spans="1:29" s="174" customFormat="1">
      <c r="A91" s="24"/>
      <c r="B91" s="178"/>
      <c r="C91" s="178"/>
      <c r="D91" s="178"/>
      <c r="G91" s="177"/>
      <c r="H91" s="177"/>
      <c r="I91" s="28"/>
      <c r="J91" s="29"/>
      <c r="K91" s="30"/>
      <c r="L91" s="177"/>
      <c r="M91" s="313"/>
      <c r="N91" s="313"/>
      <c r="O91" s="313"/>
      <c r="P91" s="313"/>
      <c r="Q91" s="313"/>
      <c r="R91" s="313"/>
      <c r="S91" s="313"/>
      <c r="T91" s="313"/>
      <c r="U91" s="313"/>
      <c r="V91" s="314"/>
      <c r="W91" s="313"/>
      <c r="X91" s="313"/>
      <c r="Y91" s="313"/>
      <c r="Z91" s="304"/>
      <c r="AA91" s="318"/>
      <c r="AB91" s="304"/>
      <c r="AC91" s="304"/>
    </row>
    <row r="92" spans="1:29" s="174" customFormat="1">
      <c r="A92" s="24"/>
      <c r="B92" s="178" t="s">
        <v>254</v>
      </c>
      <c r="C92" s="178"/>
      <c r="D92" s="178" t="s">
        <v>253</v>
      </c>
      <c r="G92" s="177"/>
      <c r="H92" s="177"/>
      <c r="I92" s="28"/>
      <c r="J92" s="29"/>
      <c r="K92" s="30"/>
      <c r="L92" s="177"/>
      <c r="M92" s="313"/>
      <c r="N92" s="313"/>
      <c r="O92" s="313"/>
      <c r="P92" s="313"/>
      <c r="Q92" s="313"/>
      <c r="R92" s="313"/>
      <c r="S92" s="313"/>
      <c r="T92" s="313"/>
      <c r="U92" s="313"/>
      <c r="V92" s="314"/>
      <c r="W92" s="313"/>
      <c r="X92" s="313"/>
      <c r="Y92" s="313"/>
      <c r="Z92" s="304"/>
      <c r="AA92" s="318"/>
      <c r="AB92" s="304"/>
      <c r="AC92" s="304"/>
    </row>
    <row r="93" spans="1:29" s="174" customFormat="1">
      <c r="A93" s="24"/>
      <c r="B93" s="178"/>
      <c r="C93" s="178"/>
      <c r="D93" s="178"/>
      <c r="G93" s="177"/>
      <c r="H93" s="177"/>
      <c r="I93" s="28"/>
      <c r="J93" s="29"/>
      <c r="L93" s="177"/>
      <c r="M93" s="313"/>
      <c r="N93" s="313"/>
      <c r="O93" s="313"/>
      <c r="P93" s="313"/>
      <c r="Q93" s="313"/>
      <c r="R93" s="313"/>
      <c r="S93" s="313"/>
      <c r="T93" s="313"/>
      <c r="U93" s="313"/>
      <c r="V93" s="314"/>
      <c r="W93" s="313"/>
      <c r="X93" s="313"/>
      <c r="Y93" s="313"/>
      <c r="Z93" s="304"/>
      <c r="AA93" s="318"/>
      <c r="AB93" s="304"/>
      <c r="AC93" s="304"/>
    </row>
    <row r="94" spans="1:29" s="174" customFormat="1">
      <c r="A94" s="178"/>
      <c r="B94" s="4" t="s">
        <v>255</v>
      </c>
      <c r="C94" s="178"/>
      <c r="D94" s="178" t="s">
        <v>256</v>
      </c>
      <c r="E94" s="178"/>
      <c r="F94" s="178"/>
      <c r="G94" s="178"/>
      <c r="H94" s="178"/>
      <c r="I94" s="178"/>
      <c r="J94" s="178"/>
      <c r="K94" s="178"/>
      <c r="L94" s="178"/>
      <c r="M94" s="304"/>
      <c r="N94" s="304"/>
      <c r="O94" s="304"/>
      <c r="P94" s="304"/>
      <c r="Q94" s="304"/>
      <c r="R94" s="304"/>
      <c r="S94" s="304"/>
      <c r="T94" s="304"/>
      <c r="U94" s="304"/>
      <c r="V94" s="314"/>
      <c r="W94" s="313"/>
      <c r="X94" s="313"/>
      <c r="Y94" s="313"/>
      <c r="Z94" s="304"/>
      <c r="AA94" s="318"/>
      <c r="AB94" s="304"/>
      <c r="AC94" s="304"/>
    </row>
    <row r="95" spans="1:29" s="174" customFormat="1">
      <c r="A95" s="178"/>
      <c r="B95" s="9"/>
      <c r="C95" s="178"/>
      <c r="D95" s="178"/>
      <c r="E95" s="178"/>
      <c r="F95" s="178"/>
      <c r="G95" s="178"/>
      <c r="H95" s="178"/>
      <c r="I95" s="178"/>
      <c r="J95" s="178"/>
      <c r="K95" s="178"/>
      <c r="L95" s="178"/>
      <c r="M95" s="304"/>
      <c r="N95" s="304"/>
      <c r="O95" s="304"/>
      <c r="P95" s="304"/>
      <c r="Q95" s="304"/>
      <c r="R95" s="304"/>
      <c r="S95" s="304"/>
      <c r="T95" s="304"/>
      <c r="U95" s="304"/>
      <c r="V95" s="314"/>
      <c r="W95" s="313"/>
      <c r="X95" s="313"/>
      <c r="Y95" s="313"/>
      <c r="Z95" s="304"/>
      <c r="AA95" s="318"/>
      <c r="AB95" s="304"/>
      <c r="AC95" s="304"/>
    </row>
    <row r="96" spans="1:29" s="174" customFormat="1">
      <c r="A96" s="178"/>
      <c r="B96" s="178"/>
      <c r="C96" s="178"/>
      <c r="D96" s="178"/>
      <c r="E96" s="178"/>
      <c r="F96" s="178"/>
      <c r="G96" s="178"/>
      <c r="H96" s="178"/>
      <c r="I96" s="178"/>
      <c r="J96" s="178"/>
      <c r="K96" s="178"/>
      <c r="L96" s="178"/>
      <c r="M96" s="304"/>
      <c r="N96" s="304"/>
      <c r="O96" s="304"/>
      <c r="P96" s="304"/>
      <c r="Q96" s="304"/>
      <c r="R96" s="304"/>
      <c r="S96" s="304"/>
      <c r="T96" s="304"/>
      <c r="U96" s="304"/>
      <c r="V96" s="314"/>
      <c r="W96" s="313"/>
      <c r="X96" s="313"/>
      <c r="Y96" s="313"/>
      <c r="Z96" s="304"/>
      <c r="AA96" s="318"/>
      <c r="AB96" s="304"/>
      <c r="AC96" s="304"/>
    </row>
    <row r="97" spans="1:30" s="174" customFormat="1">
      <c r="A97" s="178"/>
      <c r="B97" s="178"/>
      <c r="C97" s="178"/>
      <c r="D97" s="178"/>
      <c r="E97" s="178"/>
      <c r="F97" s="178"/>
      <c r="G97" s="178"/>
      <c r="H97" s="178"/>
      <c r="I97" s="178"/>
      <c r="J97" s="178"/>
      <c r="K97" s="178"/>
      <c r="L97" s="178"/>
      <c r="M97" s="304"/>
      <c r="N97" s="304"/>
      <c r="O97" s="304"/>
      <c r="P97" s="304"/>
      <c r="Q97" s="304"/>
      <c r="R97" s="304"/>
      <c r="S97" s="304"/>
      <c r="T97" s="304"/>
      <c r="U97" s="304"/>
      <c r="V97" s="313"/>
      <c r="W97" s="313"/>
      <c r="X97" s="313"/>
      <c r="Y97" s="313"/>
      <c r="Z97" s="304"/>
      <c r="AA97" s="304"/>
      <c r="AB97" s="304"/>
      <c r="AC97" s="304"/>
    </row>
    <row r="98" spans="1:30" s="174" customFormat="1">
      <c r="A98" s="178"/>
      <c r="B98" s="178"/>
      <c r="C98" s="178"/>
      <c r="D98" s="178"/>
      <c r="E98" s="178"/>
      <c r="F98" s="178"/>
      <c r="G98" s="178"/>
      <c r="H98" s="178"/>
      <c r="I98" s="178"/>
      <c r="J98" s="178"/>
      <c r="K98" s="178"/>
      <c r="L98" s="178"/>
      <c r="M98" s="304"/>
      <c r="N98" s="304"/>
      <c r="O98" s="304"/>
      <c r="P98" s="304"/>
      <c r="Q98" s="304"/>
      <c r="R98" s="304"/>
      <c r="S98" s="304"/>
      <c r="T98" s="304"/>
      <c r="U98" s="304"/>
      <c r="V98" s="313"/>
      <c r="W98" s="313"/>
      <c r="X98" s="313"/>
      <c r="Y98" s="313" t="str">
        <f>+F10</f>
        <v>"ВЛ-04кВ  от  КТП-8-561 на Байдоново" (дисп. Наименование ВЛ-0,4кВ от КТП-8-561/100 фидер №2)</v>
      </c>
      <c r="Z98" s="304"/>
      <c r="AA98" s="304" t="s">
        <v>116</v>
      </c>
      <c r="AB98" s="304" t="s">
        <v>116</v>
      </c>
      <c r="AC98" s="304" t="s">
        <v>107</v>
      </c>
    </row>
    <row r="99" spans="1:30" s="174" customFormat="1" ht="25.5">
      <c r="A99" s="178"/>
      <c r="B99" s="178"/>
      <c r="C99" s="178"/>
      <c r="D99" s="178"/>
      <c r="E99" s="178"/>
      <c r="F99" s="178"/>
      <c r="G99" s="178"/>
      <c r="H99" s="178"/>
      <c r="I99" s="178"/>
      <c r="J99" s="178"/>
      <c r="K99" s="178"/>
      <c r="L99" s="178"/>
      <c r="M99" s="304"/>
      <c r="N99" s="304"/>
      <c r="O99" s="304"/>
      <c r="P99" s="304"/>
      <c r="Q99" s="304"/>
      <c r="R99" s="304"/>
      <c r="S99" s="304"/>
      <c r="T99" s="304"/>
      <c r="U99" s="304"/>
      <c r="V99" s="313"/>
      <c r="W99" s="313"/>
      <c r="X99" s="313"/>
      <c r="Y99" s="322" t="s">
        <v>99</v>
      </c>
      <c r="Z99" s="322" t="e">
        <f>+#REF!</f>
        <v>#REF!</v>
      </c>
      <c r="AA99" s="304">
        <v>9.6300000000000008</v>
      </c>
      <c r="AB99" s="304" t="e">
        <f>+Z99*AA99</f>
        <v>#REF!</v>
      </c>
      <c r="AC99" s="304" t="e">
        <f>+SUM(#REF!)</f>
        <v>#REF!</v>
      </c>
      <c r="AD99" s="174" t="e">
        <f>+ROUNDUP(AC99/1000,1)</f>
        <v>#REF!</v>
      </c>
    </row>
    <row r="100" spans="1:30" s="174" customFormat="1" ht="25.5">
      <c r="A100" s="178"/>
      <c r="B100" s="178"/>
      <c r="C100" s="178"/>
      <c r="D100" s="178"/>
      <c r="E100" s="178"/>
      <c r="F100" s="178"/>
      <c r="G100" s="178"/>
      <c r="H100" s="178"/>
      <c r="I100" s="178"/>
      <c r="J100" s="178"/>
      <c r="K100" s="178"/>
      <c r="L100" s="178"/>
      <c r="M100" s="304"/>
      <c r="N100" s="304"/>
      <c r="O100" s="304"/>
      <c r="P100" s="304"/>
      <c r="Q100" s="304"/>
      <c r="R100" s="304"/>
      <c r="S100" s="304"/>
      <c r="T100" s="304"/>
      <c r="U100" s="304"/>
      <c r="V100" s="313"/>
      <c r="W100" s="313"/>
      <c r="X100" s="313"/>
      <c r="Y100" s="322" t="s">
        <v>100</v>
      </c>
      <c r="Z100" s="322" t="e">
        <f>+#REF!+#REF!</f>
        <v>#REF!</v>
      </c>
      <c r="AA100" s="304">
        <v>5.36</v>
      </c>
      <c r="AB100" s="304" t="e">
        <f t="shared" ref="AB100:AB105" si="13">+Z100*AA100</f>
        <v>#REF!</v>
      </c>
      <c r="AC100" s="304" t="e">
        <f>+SUM(#REF!)</f>
        <v>#REF!</v>
      </c>
      <c r="AD100" s="174" t="e">
        <f t="shared" ref="AD100:AD105" si="14">+ROUNDUP(AC100/1000,1)</f>
        <v>#REF!</v>
      </c>
    </row>
    <row r="101" spans="1:30" s="174" customFormat="1">
      <c r="A101" s="178"/>
      <c r="B101" s="178"/>
      <c r="C101" s="178"/>
      <c r="D101" s="178"/>
      <c r="E101" s="178"/>
      <c r="F101" s="178"/>
      <c r="G101" s="178"/>
      <c r="H101" s="178"/>
      <c r="I101" s="178"/>
      <c r="J101" s="178"/>
      <c r="K101" s="178"/>
      <c r="L101" s="178"/>
      <c r="M101" s="304"/>
      <c r="N101" s="304"/>
      <c r="O101" s="304"/>
      <c r="P101" s="304"/>
      <c r="Q101" s="304"/>
      <c r="R101" s="304"/>
      <c r="S101" s="304"/>
      <c r="T101" s="304"/>
      <c r="U101" s="304"/>
      <c r="V101" s="313"/>
      <c r="W101" s="313"/>
      <c r="X101" s="313"/>
      <c r="Y101" s="322" t="s">
        <v>102</v>
      </c>
      <c r="Z101" s="322" t="e">
        <f>+#REF!</f>
        <v>#REF!</v>
      </c>
      <c r="AA101" s="304">
        <v>1</v>
      </c>
      <c r="AB101" s="304" t="e">
        <f t="shared" si="13"/>
        <v>#REF!</v>
      </c>
      <c r="AC101" s="304" t="e">
        <f>+SUM(#REF!)</f>
        <v>#REF!</v>
      </c>
      <c r="AD101" s="174" t="e">
        <f t="shared" si="14"/>
        <v>#REF!</v>
      </c>
    </row>
    <row r="102" spans="1:30" s="174" customFormat="1" ht="25.5">
      <c r="A102" s="178"/>
      <c r="B102" s="178"/>
      <c r="C102" s="178"/>
      <c r="D102" s="178"/>
      <c r="E102" s="178"/>
      <c r="F102" s="178"/>
      <c r="G102" s="178"/>
      <c r="H102" s="178"/>
      <c r="I102" s="178"/>
      <c r="J102" s="178"/>
      <c r="K102" s="178"/>
      <c r="L102" s="178"/>
      <c r="M102" s="304"/>
      <c r="N102" s="304"/>
      <c r="O102" s="304"/>
      <c r="P102" s="304"/>
      <c r="Q102" s="304"/>
      <c r="R102" s="304"/>
      <c r="S102" s="304"/>
      <c r="T102" s="304"/>
      <c r="U102" s="304"/>
      <c r="V102" s="313"/>
      <c r="W102" s="313"/>
      <c r="X102" s="304"/>
      <c r="Y102" s="322" t="s">
        <v>101</v>
      </c>
      <c r="Z102" s="322" t="e">
        <f>+#REF!</f>
        <v>#REF!</v>
      </c>
      <c r="AA102" s="304">
        <v>1.08</v>
      </c>
      <c r="AB102" s="304" t="e">
        <f t="shared" si="13"/>
        <v>#REF!</v>
      </c>
      <c r="AC102" s="304" t="e">
        <f>+SUM(#REF!)</f>
        <v>#REF!</v>
      </c>
      <c r="AD102" s="174" t="e">
        <f t="shared" si="14"/>
        <v>#REF!</v>
      </c>
    </row>
    <row r="103" spans="1:30" ht="25.5">
      <c r="Y103" s="322" t="s">
        <v>103</v>
      </c>
      <c r="Z103" s="322" t="e">
        <f>+#REF!</f>
        <v>#REF!</v>
      </c>
      <c r="AA103" s="304">
        <v>2</v>
      </c>
      <c r="AB103" s="304" t="e">
        <f t="shared" si="13"/>
        <v>#REF!</v>
      </c>
      <c r="AC103" s="304" t="e">
        <f>+SUM(#REF!)</f>
        <v>#REF!</v>
      </c>
      <c r="AD103" s="174" t="e">
        <f t="shared" si="14"/>
        <v>#REF!</v>
      </c>
    </row>
    <row r="104" spans="1:30">
      <c r="Y104" s="322" t="s">
        <v>104</v>
      </c>
      <c r="Z104" s="322" t="e">
        <f>+#REF!</f>
        <v>#REF!</v>
      </c>
      <c r="AA104" s="304">
        <v>2.08</v>
      </c>
      <c r="AB104" s="304" t="e">
        <f t="shared" si="13"/>
        <v>#REF!</v>
      </c>
      <c r="AC104" s="304" t="e">
        <f>+SUM(#REF!)</f>
        <v>#REF!</v>
      </c>
      <c r="AD104" s="174" t="e">
        <f t="shared" si="14"/>
        <v>#REF!</v>
      </c>
    </row>
    <row r="105" spans="1:30">
      <c r="Y105" s="322" t="s">
        <v>105</v>
      </c>
      <c r="Z105" s="323" t="e">
        <f>+#REF!</f>
        <v>#REF!</v>
      </c>
      <c r="AA105" s="304">
        <v>36.6</v>
      </c>
      <c r="AB105" s="304" t="e">
        <f t="shared" si="13"/>
        <v>#REF!</v>
      </c>
      <c r="AC105" s="304" t="e">
        <f>+SUM(#REF!)+SUM(#REF!)</f>
        <v>#REF!</v>
      </c>
      <c r="AD105" s="174" t="e">
        <f t="shared" si="14"/>
        <v>#REF!</v>
      </c>
    </row>
    <row r="106" spans="1:30">
      <c r="AB106" s="304" t="e">
        <f>SUM(AB99:AB105)</f>
        <v>#REF!</v>
      </c>
      <c r="AC106" s="304" t="e">
        <f>SUM(AC99:AC105)</f>
        <v>#REF!</v>
      </c>
    </row>
    <row r="107" spans="1:30">
      <c r="AC107" s="324" t="e">
        <f>+#REF!-AC106</f>
        <v>#REF!</v>
      </c>
    </row>
  </sheetData>
  <mergeCells count="75">
    <mergeCell ref="A9:L9"/>
    <mergeCell ref="J1:L1"/>
    <mergeCell ref="J2:L2"/>
    <mergeCell ref="I3:L3"/>
    <mergeCell ref="A7:L7"/>
    <mergeCell ref="A8:L8"/>
    <mergeCell ref="K10:L10"/>
    <mergeCell ref="O12:Q12"/>
    <mergeCell ref="M13:N13"/>
    <mergeCell ref="P13:Q13"/>
    <mergeCell ref="R13:U13"/>
    <mergeCell ref="A17:A18"/>
    <mergeCell ref="B17:B18"/>
    <mergeCell ref="C17:C18"/>
    <mergeCell ref="D17:D18"/>
    <mergeCell ref="A15:A16"/>
    <mergeCell ref="B15:B16"/>
    <mergeCell ref="C15:C16"/>
    <mergeCell ref="D15:D16"/>
    <mergeCell ref="A19:A20"/>
    <mergeCell ref="B19:B20"/>
    <mergeCell ref="C19:C20"/>
    <mergeCell ref="D19:D20"/>
    <mergeCell ref="A22:A27"/>
    <mergeCell ref="B22:B27"/>
    <mergeCell ref="C22:C27"/>
    <mergeCell ref="D22:D27"/>
    <mergeCell ref="A28:A34"/>
    <mergeCell ref="B28:B34"/>
    <mergeCell ref="C28:C34"/>
    <mergeCell ref="D28:D34"/>
    <mergeCell ref="A35:A42"/>
    <mergeCell ref="B35:B42"/>
    <mergeCell ref="C35:C42"/>
    <mergeCell ref="D35:D42"/>
    <mergeCell ref="F44:F46"/>
    <mergeCell ref="G44:G46"/>
    <mergeCell ref="H44:H46"/>
    <mergeCell ref="A47:L47"/>
    <mergeCell ref="F49:F50"/>
    <mergeCell ref="G49:G50"/>
    <mergeCell ref="H49:H50"/>
    <mergeCell ref="A44:A46"/>
    <mergeCell ref="B44:B46"/>
    <mergeCell ref="C44:C46"/>
    <mergeCell ref="D44:D46"/>
    <mergeCell ref="E44:E46"/>
    <mergeCell ref="F52:F55"/>
    <mergeCell ref="G52:G55"/>
    <mergeCell ref="A49:A50"/>
    <mergeCell ref="B49:B50"/>
    <mergeCell ref="C49:C50"/>
    <mergeCell ref="D49:D50"/>
    <mergeCell ref="E49:E50"/>
    <mergeCell ref="A52:A55"/>
    <mergeCell ref="B52:B55"/>
    <mergeCell ref="C52:C55"/>
    <mergeCell ref="D52:D55"/>
    <mergeCell ref="E52:E55"/>
    <mergeCell ref="A83:L83"/>
    <mergeCell ref="H52:H55"/>
    <mergeCell ref="A56:L56"/>
    <mergeCell ref="A58:A59"/>
    <mergeCell ref="B58:B59"/>
    <mergeCell ref="C58:C59"/>
    <mergeCell ref="D58:D59"/>
    <mergeCell ref="E58:E59"/>
    <mergeCell ref="F58:F59"/>
    <mergeCell ref="G58:G59"/>
    <mergeCell ref="H58:H59"/>
    <mergeCell ref="A60:L60"/>
    <mergeCell ref="B61:L61"/>
    <mergeCell ref="B64:L64"/>
    <mergeCell ref="B67:L67"/>
    <mergeCell ref="B70:L70"/>
  </mergeCells>
  <dataValidations count="1">
    <dataValidation type="list" allowBlank="1" showInputMessage="1" showErrorMessage="1" sqref="I59 I21:I57">
      <formula1>материалы</formula1>
    </dataValidation>
  </dataValidations>
  <pageMargins left="0.7" right="0.7" top="0.75" bottom="0.75" header="0.3" footer="0.3"/>
  <pageSetup paperSize="9" scale="4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151"/>
  <sheetViews>
    <sheetView view="pageBreakPreview" topLeftCell="A13" zoomScale="85" zoomScaleNormal="85" zoomScaleSheetLayoutView="85" workbookViewId="0">
      <selection activeCell="B13" sqref="B13"/>
    </sheetView>
  </sheetViews>
  <sheetFormatPr defaultRowHeight="12.75" outlineLevelRow="1"/>
  <cols>
    <col min="1" max="1" width="7.5703125" customWidth="1"/>
    <col min="2" max="2" width="30.140625" customWidth="1"/>
    <col min="3" max="3" width="7.5703125" customWidth="1"/>
    <col min="4" max="4" width="9.28515625" customWidth="1"/>
    <col min="5" max="5" width="30" customWidth="1"/>
    <col min="6" max="6" width="8.140625" bestFit="1" customWidth="1"/>
    <col min="7" max="7" width="11" bestFit="1" customWidth="1"/>
    <col min="8" max="8" width="11.140625" customWidth="1"/>
    <col min="9" max="9" width="60.28515625" customWidth="1"/>
    <col min="10" max="10" width="10.140625" customWidth="1"/>
    <col min="11" max="11" width="8.7109375" customWidth="1"/>
    <col min="12" max="12" width="13.42578125" customWidth="1"/>
    <col min="13" max="13" width="6.140625" bestFit="1" customWidth="1"/>
    <col min="14" max="14" width="6.85546875" bestFit="1" customWidth="1"/>
    <col min="15" max="15" width="13.140625" bestFit="1" customWidth="1"/>
    <col min="16" max="16" width="9.42578125" customWidth="1"/>
    <col min="17" max="17" width="10.42578125" customWidth="1"/>
    <col min="18" max="18" width="10.42578125" bestFit="1" customWidth="1"/>
    <col min="19" max="19" width="7.5703125" customWidth="1"/>
    <col min="20" max="20" width="5.85546875" bestFit="1" customWidth="1"/>
    <col min="21" max="21" width="6.5703125" customWidth="1"/>
    <col min="22" max="22" width="45.42578125" customWidth="1"/>
    <col min="23" max="23" width="10.42578125" bestFit="1" customWidth="1"/>
    <col min="25" max="25" width="59.28515625" customWidth="1"/>
    <col min="27" max="27" width="14" customWidth="1"/>
  </cols>
  <sheetData>
    <row r="1" spans="1:26">
      <c r="B1" s="115"/>
      <c r="K1" s="2" t="s">
        <v>0</v>
      </c>
      <c r="L1" s="1"/>
    </row>
    <row r="2" spans="1:26">
      <c r="B2" s="3"/>
      <c r="E2" s="4"/>
      <c r="J2" s="2" t="s">
        <v>138</v>
      </c>
      <c r="K2" s="2"/>
      <c r="L2" s="1"/>
      <c r="Y2" s="71" t="s">
        <v>77</v>
      </c>
      <c r="Z2" s="17">
        <v>1591</v>
      </c>
    </row>
    <row r="3" spans="1:26">
      <c r="B3" s="115"/>
      <c r="J3" s="2" t="s">
        <v>139</v>
      </c>
      <c r="K3" s="2"/>
      <c r="L3" s="1"/>
    </row>
    <row r="4" spans="1:26">
      <c r="B4" s="3"/>
      <c r="J4" s="153" t="s">
        <v>201</v>
      </c>
      <c r="K4" s="153"/>
      <c r="L4" s="1"/>
    </row>
    <row r="5" spans="1:26" ht="18">
      <c r="B5" s="34"/>
      <c r="C5" s="34"/>
      <c r="D5" s="34"/>
      <c r="E5" s="34"/>
      <c r="F5" s="34"/>
      <c r="G5" s="34" t="s">
        <v>1</v>
      </c>
      <c r="H5" s="34"/>
      <c r="I5" s="34"/>
      <c r="J5" s="34"/>
      <c r="K5" s="34"/>
      <c r="L5" s="34"/>
    </row>
    <row r="6" spans="1:26" ht="18">
      <c r="B6" s="34"/>
      <c r="E6" s="13" t="s">
        <v>17</v>
      </c>
      <c r="F6" s="14"/>
      <c r="G6" s="41"/>
      <c r="H6" s="41"/>
      <c r="I6" s="34"/>
      <c r="J6" s="34"/>
      <c r="K6" s="42"/>
      <c r="L6" s="34"/>
    </row>
    <row r="7" spans="1:26" ht="18.75" thickBot="1">
      <c r="B7" s="34"/>
      <c r="C7" s="34"/>
      <c r="D7" s="34"/>
      <c r="E7" s="34"/>
      <c r="F7" s="43" t="s">
        <v>2</v>
      </c>
      <c r="G7" s="34"/>
      <c r="H7" s="34"/>
      <c r="I7" s="34"/>
      <c r="J7" s="34"/>
      <c r="K7" s="34"/>
      <c r="L7" s="34"/>
    </row>
    <row r="8" spans="1:26" ht="18.75" thickBot="1">
      <c r="B8" s="44"/>
      <c r="C8" s="44"/>
      <c r="D8" s="44"/>
      <c r="E8" s="44"/>
      <c r="F8" s="34" t="s">
        <v>177</v>
      </c>
      <c r="G8" s="44"/>
      <c r="H8" s="44"/>
      <c r="I8" s="44"/>
      <c r="J8" s="95" t="s">
        <v>140</v>
      </c>
      <c r="K8" s="274">
        <v>100239</v>
      </c>
      <c r="L8" s="275"/>
      <c r="M8" s="31"/>
      <c r="N8" s="31"/>
      <c r="O8" s="31"/>
      <c r="P8" s="31"/>
      <c r="Q8" s="31"/>
      <c r="R8" s="31"/>
      <c r="S8" s="31"/>
      <c r="T8" s="31"/>
      <c r="U8" s="31"/>
      <c r="V8" s="31"/>
      <c r="W8" s="17"/>
      <c r="X8" s="17"/>
      <c r="Y8" s="17"/>
    </row>
    <row r="9" spans="1:26">
      <c r="A9" s="45" t="s">
        <v>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6" ht="25.5">
      <c r="A10" s="46" t="s">
        <v>4</v>
      </c>
      <c r="B10" s="46" t="s">
        <v>5</v>
      </c>
      <c r="C10" s="47" t="s">
        <v>6</v>
      </c>
      <c r="D10" s="48"/>
      <c r="E10" s="47" t="s">
        <v>7</v>
      </c>
      <c r="F10" s="49"/>
      <c r="G10" s="49"/>
      <c r="H10" s="48"/>
      <c r="I10" s="47" t="s">
        <v>8</v>
      </c>
      <c r="J10" s="49"/>
      <c r="K10" s="49"/>
      <c r="L10" s="48"/>
      <c r="M10" s="118"/>
      <c r="N10" s="118"/>
      <c r="O10" s="237" t="s">
        <v>162</v>
      </c>
      <c r="P10" s="237"/>
      <c r="Q10" s="237"/>
      <c r="R10" s="11"/>
      <c r="S10" s="11"/>
      <c r="T10" s="11"/>
      <c r="U10" s="11"/>
      <c r="V10" s="11"/>
      <c r="W10" s="32"/>
      <c r="X10" s="32"/>
      <c r="Y10" s="32"/>
    </row>
    <row r="11" spans="1:26" ht="67.5">
      <c r="A11" s="50"/>
      <c r="B11" s="50"/>
      <c r="C11" s="5" t="s">
        <v>9</v>
      </c>
      <c r="D11" s="5" t="s">
        <v>10</v>
      </c>
      <c r="E11" s="5" t="s">
        <v>11</v>
      </c>
      <c r="F11" s="5" t="s">
        <v>9</v>
      </c>
      <c r="G11" s="5" t="s">
        <v>10</v>
      </c>
      <c r="H11" s="6" t="s">
        <v>12</v>
      </c>
      <c r="I11" s="5" t="s">
        <v>11</v>
      </c>
      <c r="J11" s="5" t="s">
        <v>9</v>
      </c>
      <c r="K11" s="5" t="s">
        <v>10</v>
      </c>
      <c r="L11" s="6" t="s">
        <v>13</v>
      </c>
      <c r="M11" s="238" t="s">
        <v>163</v>
      </c>
      <c r="N11" s="238"/>
      <c r="O11" s="154" t="s">
        <v>164</v>
      </c>
      <c r="P11" s="238" t="s">
        <v>165</v>
      </c>
      <c r="Q11" s="238"/>
      <c r="R11" s="239" t="s">
        <v>166</v>
      </c>
      <c r="S11" s="240"/>
      <c r="T11" s="240"/>
      <c r="U11" s="241"/>
      <c r="V11" s="130"/>
      <c r="W11" s="36"/>
      <c r="X11" s="36"/>
      <c r="Y11" s="36"/>
    </row>
    <row r="12" spans="1:26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33">
        <v>9</v>
      </c>
      <c r="J12" s="33">
        <v>10</v>
      </c>
      <c r="K12" s="33">
        <v>11</v>
      </c>
      <c r="L12" s="33">
        <v>12</v>
      </c>
      <c r="M12" s="119" t="s">
        <v>167</v>
      </c>
      <c r="N12" s="119" t="s">
        <v>168</v>
      </c>
      <c r="O12" s="120"/>
      <c r="P12" s="120" t="s">
        <v>167</v>
      </c>
      <c r="Q12" s="120" t="s">
        <v>168</v>
      </c>
      <c r="R12" s="121">
        <v>1</v>
      </c>
      <c r="S12" s="122">
        <v>2</v>
      </c>
      <c r="T12" s="121">
        <v>3</v>
      </c>
      <c r="U12" s="122">
        <v>4</v>
      </c>
      <c r="V12" s="131"/>
      <c r="X12" s="20"/>
      <c r="Y12" s="20"/>
    </row>
    <row r="13" spans="1:26" s="11" customFormat="1" ht="51.75" customHeight="1">
      <c r="A13" s="8">
        <v>1</v>
      </c>
      <c r="B13" s="19" t="s">
        <v>143</v>
      </c>
      <c r="C13" s="12" t="s">
        <v>15</v>
      </c>
      <c r="D13" s="8">
        <v>11</v>
      </c>
      <c r="E13" s="35" t="s">
        <v>18</v>
      </c>
      <c r="F13" s="8" t="s">
        <v>144</v>
      </c>
      <c r="G13" s="8">
        <f>D13*(0.5+0.4)</f>
        <v>9.9</v>
      </c>
      <c r="H13" s="8" t="s">
        <v>32</v>
      </c>
      <c r="I13" s="141"/>
      <c r="J13" s="8"/>
      <c r="K13" s="8"/>
      <c r="L13" s="8"/>
      <c r="M13" s="134">
        <v>1</v>
      </c>
      <c r="N13" s="135"/>
      <c r="O13" s="129">
        <v>600</v>
      </c>
      <c r="P13" s="145">
        <f t="shared" ref="P13:P27" si="0">O13*G13</f>
        <v>5940</v>
      </c>
      <c r="Q13" s="20"/>
      <c r="R13" s="20"/>
      <c r="S13" s="20"/>
      <c r="T13" s="20"/>
      <c r="U13" s="20"/>
      <c r="V13" s="143" t="s">
        <v>178</v>
      </c>
      <c r="X13" s="76"/>
      <c r="Y13" s="20"/>
    </row>
    <row r="14" spans="1:26" s="11" customFormat="1">
      <c r="A14" s="8"/>
      <c r="B14" s="19"/>
      <c r="C14" s="12"/>
      <c r="D14" s="8"/>
      <c r="E14" s="35" t="s">
        <v>28</v>
      </c>
      <c r="F14" s="8" t="s">
        <v>15</v>
      </c>
      <c r="G14" s="8">
        <f>D13*4</f>
        <v>44</v>
      </c>
      <c r="H14" s="8" t="s">
        <v>33</v>
      </c>
      <c r="I14" s="8"/>
      <c r="J14" s="8"/>
      <c r="K14" s="8"/>
      <c r="L14" s="8"/>
      <c r="M14" s="20">
        <v>1</v>
      </c>
      <c r="N14" s="20"/>
      <c r="O14" s="8">
        <v>0.8</v>
      </c>
      <c r="P14" s="8">
        <f t="shared" si="0"/>
        <v>35.200000000000003</v>
      </c>
      <c r="Q14" s="20"/>
      <c r="R14" s="20"/>
      <c r="S14" s="20"/>
      <c r="T14" s="20"/>
      <c r="U14" s="20"/>
      <c r="V14" s="36"/>
      <c r="X14" s="37"/>
      <c r="Y14" s="20"/>
    </row>
    <row r="15" spans="1:26" s="11" customFormat="1">
      <c r="A15" s="8"/>
      <c r="B15" s="19"/>
      <c r="C15" s="12"/>
      <c r="D15" s="8"/>
      <c r="E15" s="165" t="s">
        <v>19</v>
      </c>
      <c r="F15" s="8" t="s">
        <v>15</v>
      </c>
      <c r="G15" s="8">
        <f>D13*4</f>
        <v>44</v>
      </c>
      <c r="H15" s="8" t="s">
        <v>32</v>
      </c>
      <c r="I15" s="8"/>
      <c r="J15" s="8"/>
      <c r="K15" s="8"/>
      <c r="L15" s="8"/>
      <c r="M15" s="20">
        <v>1</v>
      </c>
      <c r="N15" s="20"/>
      <c r="O15" s="8">
        <v>0.47</v>
      </c>
      <c r="P15" s="8">
        <f t="shared" si="0"/>
        <v>20.68</v>
      </c>
      <c r="Q15" s="20"/>
      <c r="R15" s="20"/>
      <c r="S15" s="20"/>
      <c r="T15" s="20"/>
      <c r="U15" s="20"/>
      <c r="V15" s="36"/>
      <c r="X15" s="38"/>
      <c r="Y15" s="20"/>
    </row>
    <row r="16" spans="1:26" s="11" customFormat="1" ht="38.25" hidden="1" outlineLevel="1">
      <c r="A16" s="8">
        <v>2</v>
      </c>
      <c r="B16" s="19" t="s">
        <v>145</v>
      </c>
      <c r="C16" s="12" t="s">
        <v>15</v>
      </c>
      <c r="D16" s="8">
        <v>0</v>
      </c>
      <c r="E16" s="35" t="s">
        <v>18</v>
      </c>
      <c r="F16" s="8" t="s">
        <v>15</v>
      </c>
      <c r="G16" s="8">
        <f>D16*0.5</f>
        <v>0</v>
      </c>
      <c r="H16" s="8" t="s">
        <v>32</v>
      </c>
      <c r="I16" s="141"/>
      <c r="J16" s="8"/>
      <c r="K16" s="8"/>
      <c r="L16" s="8"/>
      <c r="M16" s="20">
        <v>1</v>
      </c>
      <c r="N16" s="20"/>
      <c r="O16" s="8">
        <v>600</v>
      </c>
      <c r="P16" s="8">
        <f t="shared" si="0"/>
        <v>0</v>
      </c>
      <c r="Q16" s="20"/>
      <c r="R16" s="20"/>
      <c r="S16" s="20"/>
      <c r="T16" s="20"/>
      <c r="U16" s="20"/>
      <c r="V16" s="143" t="s">
        <v>178</v>
      </c>
      <c r="X16" s="38"/>
      <c r="Y16" s="20"/>
    </row>
    <row r="17" spans="1:27" s="11" customFormat="1" hidden="1" outlineLevel="1">
      <c r="A17" s="8"/>
      <c r="B17" s="19"/>
      <c r="C17" s="12"/>
      <c r="D17" s="8"/>
      <c r="E17" s="35" t="s">
        <v>28</v>
      </c>
      <c r="F17" s="8" t="s">
        <v>15</v>
      </c>
      <c r="G17" s="8">
        <f>D16*4</f>
        <v>0</v>
      </c>
      <c r="H17" s="8" t="s">
        <v>33</v>
      </c>
      <c r="I17" s="141"/>
      <c r="J17" s="8"/>
      <c r="K17" s="8"/>
      <c r="L17" s="8"/>
      <c r="M17" s="20">
        <v>1</v>
      </c>
      <c r="N17" s="20"/>
      <c r="O17" s="8">
        <v>0.8</v>
      </c>
      <c r="P17" s="8">
        <f t="shared" si="0"/>
        <v>0</v>
      </c>
      <c r="Q17" s="20"/>
      <c r="R17" s="20"/>
      <c r="S17" s="20"/>
      <c r="T17" s="20"/>
      <c r="U17" s="20"/>
      <c r="V17" s="38"/>
      <c r="X17" s="38"/>
      <c r="Y17" s="20"/>
    </row>
    <row r="18" spans="1:27" s="11" customFormat="1" hidden="1" outlineLevel="1">
      <c r="A18" s="8"/>
      <c r="B18" s="19"/>
      <c r="C18" s="12"/>
      <c r="D18" s="8"/>
      <c r="E18" s="165" t="s">
        <v>19</v>
      </c>
      <c r="F18" s="8" t="s">
        <v>15</v>
      </c>
      <c r="G18" s="8">
        <f>D16*4</f>
        <v>0</v>
      </c>
      <c r="H18" s="8" t="s">
        <v>32</v>
      </c>
      <c r="I18" s="8"/>
      <c r="J18" s="8"/>
      <c r="K18" s="8"/>
      <c r="L18" s="8"/>
      <c r="M18" s="20">
        <v>1</v>
      </c>
      <c r="N18" s="20"/>
      <c r="O18" s="8">
        <v>0.47</v>
      </c>
      <c r="P18" s="8">
        <f t="shared" si="0"/>
        <v>0</v>
      </c>
      <c r="Q18" s="20"/>
      <c r="R18" s="20"/>
      <c r="S18" s="20"/>
      <c r="T18" s="20"/>
      <c r="U18" s="20"/>
      <c r="V18" s="38"/>
      <c r="X18" s="38"/>
      <c r="Y18" s="20"/>
    </row>
    <row r="19" spans="1:27" s="11" customFormat="1" ht="38.25" collapsed="1">
      <c r="A19" s="8">
        <v>2</v>
      </c>
      <c r="B19" s="19" t="s">
        <v>146</v>
      </c>
      <c r="C19" s="12" t="s">
        <v>15</v>
      </c>
      <c r="D19" s="8">
        <v>20</v>
      </c>
      <c r="E19" s="35" t="s">
        <v>18</v>
      </c>
      <c r="F19" s="8" t="s">
        <v>144</v>
      </c>
      <c r="G19" s="8">
        <f>D19*0.5</f>
        <v>10</v>
      </c>
      <c r="H19" s="8" t="s">
        <v>32</v>
      </c>
      <c r="I19" s="141"/>
      <c r="J19" s="8"/>
      <c r="K19" s="8"/>
      <c r="L19" s="8"/>
      <c r="M19" s="134">
        <v>1</v>
      </c>
      <c r="N19" s="135"/>
      <c r="O19" s="129">
        <v>600</v>
      </c>
      <c r="P19" s="145">
        <f t="shared" si="0"/>
        <v>6000</v>
      </c>
      <c r="Q19" s="20"/>
      <c r="R19" s="20"/>
      <c r="S19" s="20"/>
      <c r="T19" s="20"/>
      <c r="U19" s="20"/>
      <c r="V19" s="143" t="s">
        <v>178</v>
      </c>
      <c r="X19" s="38"/>
      <c r="Y19" s="20"/>
    </row>
    <row r="20" spans="1:27" s="11" customFormat="1">
      <c r="A20" s="8"/>
      <c r="B20" s="19"/>
      <c r="C20" s="12"/>
      <c r="D20" s="8"/>
      <c r="E20" s="35" t="s">
        <v>28</v>
      </c>
      <c r="F20" s="8" t="s">
        <v>15</v>
      </c>
      <c r="G20" s="8">
        <f>D19*4</f>
        <v>80</v>
      </c>
      <c r="H20" s="8" t="s">
        <v>33</v>
      </c>
      <c r="I20" s="8"/>
      <c r="J20" s="8"/>
      <c r="K20" s="8"/>
      <c r="L20" s="8"/>
      <c r="M20" s="20">
        <v>1</v>
      </c>
      <c r="N20" s="20"/>
      <c r="O20" s="8">
        <v>0.8</v>
      </c>
      <c r="P20" s="8">
        <f t="shared" si="0"/>
        <v>64</v>
      </c>
      <c r="Q20" s="20"/>
      <c r="R20" s="20"/>
      <c r="S20" s="20"/>
      <c r="T20" s="20"/>
      <c r="U20" s="20"/>
      <c r="V20" s="38"/>
      <c r="X20" s="38"/>
      <c r="Y20" s="20"/>
    </row>
    <row r="21" spans="1:27" s="11" customFormat="1">
      <c r="A21" s="8"/>
      <c r="B21" s="19"/>
      <c r="C21" s="12"/>
      <c r="D21" s="8"/>
      <c r="E21" s="165" t="s">
        <v>19</v>
      </c>
      <c r="F21" s="8" t="s">
        <v>15</v>
      </c>
      <c r="G21" s="8">
        <f>D19*4</f>
        <v>80</v>
      </c>
      <c r="H21" s="8" t="s">
        <v>32</v>
      </c>
      <c r="I21" s="8"/>
      <c r="J21" s="8"/>
      <c r="K21" s="8"/>
      <c r="L21" s="8"/>
      <c r="M21" s="20">
        <v>1</v>
      </c>
      <c r="N21" s="20"/>
      <c r="O21" s="8">
        <v>0.47</v>
      </c>
      <c r="P21" s="8">
        <f t="shared" si="0"/>
        <v>37.599999999999994</v>
      </c>
      <c r="Q21" s="20"/>
      <c r="R21" s="20"/>
      <c r="S21" s="20"/>
      <c r="T21" s="20"/>
      <c r="U21" s="20"/>
      <c r="V21" s="38"/>
      <c r="X21" s="38"/>
      <c r="Y21" s="20"/>
    </row>
    <row r="22" spans="1:27" s="11" customFormat="1">
      <c r="A22" s="8"/>
      <c r="B22" s="19"/>
      <c r="C22" s="12"/>
      <c r="D22" s="8"/>
      <c r="E22" s="166" t="s">
        <v>98</v>
      </c>
      <c r="F22" s="8" t="s">
        <v>15</v>
      </c>
      <c r="G22" s="8">
        <f>D19</f>
        <v>20</v>
      </c>
      <c r="H22" s="8" t="s">
        <v>32</v>
      </c>
      <c r="I22" s="8"/>
      <c r="J22" s="8"/>
      <c r="K22" s="8"/>
      <c r="L22" s="8"/>
      <c r="M22" s="136">
        <v>1</v>
      </c>
      <c r="N22" s="136"/>
      <c r="O22" s="128">
        <v>250</v>
      </c>
      <c r="P22" s="129">
        <f t="shared" si="0"/>
        <v>5000</v>
      </c>
      <c r="Q22" s="20"/>
      <c r="R22" s="20"/>
      <c r="S22" s="20"/>
      <c r="T22" s="20"/>
      <c r="U22" s="20"/>
      <c r="V22" s="144" t="s">
        <v>179</v>
      </c>
      <c r="X22" s="38"/>
      <c r="Y22" s="20"/>
    </row>
    <row r="23" spans="1:27" s="11" customFormat="1" ht="51">
      <c r="A23" s="8">
        <v>3</v>
      </c>
      <c r="B23" s="35" t="s">
        <v>20</v>
      </c>
      <c r="C23" s="12" t="s">
        <v>15</v>
      </c>
      <c r="D23" s="8">
        <v>12</v>
      </c>
      <c r="E23" s="102" t="s">
        <v>34</v>
      </c>
      <c r="F23" s="8" t="s">
        <v>170</v>
      </c>
      <c r="G23" s="127">
        <f>D23*15*2</f>
        <v>360</v>
      </c>
      <c r="H23" s="8" t="s">
        <v>33</v>
      </c>
      <c r="I23" s="142"/>
      <c r="J23" s="8"/>
      <c r="K23" s="8"/>
      <c r="L23" s="8"/>
      <c r="M23" s="20">
        <v>1</v>
      </c>
      <c r="N23" s="20"/>
      <c r="O23" s="145">
        <f>68/1000</f>
        <v>6.8000000000000005E-2</v>
      </c>
      <c r="P23" s="127">
        <f t="shared" si="0"/>
        <v>24.48</v>
      </c>
      <c r="Q23" s="20"/>
      <c r="R23" s="20"/>
      <c r="S23" s="20"/>
      <c r="T23" s="20"/>
      <c r="U23" s="20"/>
      <c r="V23" s="146" t="s">
        <v>180</v>
      </c>
      <c r="X23" s="38"/>
      <c r="Y23" s="20"/>
    </row>
    <row r="24" spans="1:27" s="11" customFormat="1">
      <c r="A24" s="8">
        <v>4</v>
      </c>
      <c r="B24" s="35" t="s">
        <v>117</v>
      </c>
      <c r="C24" s="12" t="s">
        <v>15</v>
      </c>
      <c r="D24" s="8">
        <f>+D23</f>
        <v>12</v>
      </c>
      <c r="E24" s="102" t="s">
        <v>30</v>
      </c>
      <c r="F24" s="8" t="s">
        <v>15</v>
      </c>
      <c r="G24" s="8">
        <f>D24</f>
        <v>12</v>
      </c>
      <c r="H24" s="167" t="s">
        <v>208</v>
      </c>
      <c r="I24" s="102"/>
      <c r="J24" s="8"/>
      <c r="K24" s="8"/>
      <c r="L24" s="8"/>
      <c r="M24" s="20">
        <v>1</v>
      </c>
      <c r="N24" s="20"/>
      <c r="O24" s="8"/>
      <c r="P24" s="127">
        <f t="shared" si="0"/>
        <v>0</v>
      </c>
      <c r="Q24" s="20"/>
      <c r="R24" s="20"/>
      <c r="S24" s="20"/>
      <c r="T24" s="20"/>
      <c r="U24" s="20"/>
      <c r="V24" s="38"/>
      <c r="X24" s="38"/>
      <c r="Y24" s="20"/>
    </row>
    <row r="25" spans="1:27" s="11" customFormat="1" ht="51">
      <c r="A25" s="8">
        <v>5</v>
      </c>
      <c r="B25" s="35" t="s">
        <v>29</v>
      </c>
      <c r="C25" s="12" t="s">
        <v>15</v>
      </c>
      <c r="D25" s="8">
        <v>1</v>
      </c>
      <c r="E25" s="102" t="s">
        <v>34</v>
      </c>
      <c r="F25" s="8" t="s">
        <v>170</v>
      </c>
      <c r="G25" s="127">
        <f>D25*15*4</f>
        <v>60</v>
      </c>
      <c r="H25" s="8" t="s">
        <v>33</v>
      </c>
      <c r="I25" s="142"/>
      <c r="J25" s="8"/>
      <c r="K25" s="8"/>
      <c r="L25" s="8"/>
      <c r="M25" s="20">
        <v>1</v>
      </c>
      <c r="N25" s="20"/>
      <c r="O25" s="145">
        <f>68/1000</f>
        <v>6.8000000000000005E-2</v>
      </c>
      <c r="P25" s="127">
        <f t="shared" si="0"/>
        <v>4.08</v>
      </c>
      <c r="Q25" s="20"/>
      <c r="R25" s="20"/>
      <c r="S25" s="20"/>
      <c r="T25" s="20"/>
      <c r="U25" s="20"/>
      <c r="V25" s="146" t="s">
        <v>181</v>
      </c>
      <c r="X25" s="38"/>
      <c r="Y25" s="20"/>
    </row>
    <row r="26" spans="1:27" s="11" customFormat="1">
      <c r="A26" s="8">
        <v>6</v>
      </c>
      <c r="B26" s="35" t="s">
        <v>117</v>
      </c>
      <c r="C26" s="12" t="s">
        <v>15</v>
      </c>
      <c r="D26" s="8">
        <f>+D25*3</f>
        <v>3</v>
      </c>
      <c r="E26" s="102" t="s">
        <v>30</v>
      </c>
      <c r="F26" s="8" t="s">
        <v>15</v>
      </c>
      <c r="G26" s="8">
        <f>D26</f>
        <v>3</v>
      </c>
      <c r="H26" s="167" t="s">
        <v>208</v>
      </c>
      <c r="I26" s="102"/>
      <c r="J26" s="8"/>
      <c r="K26" s="8"/>
      <c r="L26" s="8"/>
      <c r="M26" s="20">
        <v>1</v>
      </c>
      <c r="N26" s="20"/>
      <c r="O26" s="8"/>
      <c r="P26" s="127">
        <f t="shared" si="0"/>
        <v>0</v>
      </c>
      <c r="Q26" s="20"/>
      <c r="R26" s="20"/>
      <c r="S26" s="20"/>
      <c r="T26" s="20"/>
      <c r="U26" s="20"/>
      <c r="V26" s="20"/>
      <c r="X26" s="38"/>
      <c r="Y26" s="20"/>
      <c r="AA26" s="11">
        <f>+Z26*D26</f>
        <v>0</v>
      </c>
    </row>
    <row r="27" spans="1:27" s="11" customFormat="1" ht="38.25">
      <c r="A27" s="8">
        <v>7</v>
      </c>
      <c r="B27" s="19" t="s">
        <v>24</v>
      </c>
      <c r="C27" s="12" t="s">
        <v>26</v>
      </c>
      <c r="D27" s="8">
        <v>1.6319999999999999</v>
      </c>
      <c r="E27" s="102" t="s">
        <v>35</v>
      </c>
      <c r="F27" s="8" t="s">
        <v>14</v>
      </c>
      <c r="G27" s="168">
        <f>D27</f>
        <v>1.6319999999999999</v>
      </c>
      <c r="H27" s="8" t="s">
        <v>33</v>
      </c>
      <c r="I27" s="8"/>
      <c r="J27" s="8"/>
      <c r="K27" s="8"/>
      <c r="L27" s="8"/>
      <c r="M27" s="20">
        <v>1</v>
      </c>
      <c r="N27" s="20"/>
      <c r="O27" s="147">
        <v>94</v>
      </c>
      <c r="P27" s="127">
        <f t="shared" si="0"/>
        <v>153.40799999999999</v>
      </c>
      <c r="Q27" s="20"/>
      <c r="R27" s="20"/>
      <c r="S27" s="20"/>
      <c r="T27" s="20"/>
      <c r="U27" s="20"/>
      <c r="V27" s="146" t="s">
        <v>182</v>
      </c>
      <c r="W27" s="148" t="s">
        <v>183</v>
      </c>
      <c r="X27" s="38"/>
      <c r="Y27" s="71" t="s">
        <v>82</v>
      </c>
      <c r="Z27" s="17">
        <v>4568.4367375999991</v>
      </c>
      <c r="AA27" s="11">
        <f>+Z27*D27/1000</f>
        <v>7.4556887557631981</v>
      </c>
    </row>
    <row r="28" spans="1:27" s="17" customFormat="1" ht="25.5">
      <c r="A28" s="12">
        <v>8</v>
      </c>
      <c r="B28" s="35" t="s">
        <v>184</v>
      </c>
      <c r="C28" s="12" t="s">
        <v>14</v>
      </c>
      <c r="D28" s="64">
        <f>D27/4</f>
        <v>0.40799999999999997</v>
      </c>
      <c r="E28" s="8"/>
      <c r="F28" s="8"/>
      <c r="G28" s="8"/>
      <c r="H28" s="8"/>
      <c r="I28" s="169" t="s">
        <v>58</v>
      </c>
      <c r="J28" s="8" t="s">
        <v>14</v>
      </c>
      <c r="K28" s="22">
        <f>D28*1.02</f>
        <v>0.41615999999999997</v>
      </c>
      <c r="L28" s="8" t="s">
        <v>142</v>
      </c>
      <c r="M28" s="126">
        <f>+K28/D28-1</f>
        <v>2.0000000000000018E-2</v>
      </c>
      <c r="N28" s="20">
        <v>1</v>
      </c>
      <c r="O28" s="128">
        <v>1093</v>
      </c>
      <c r="P28" s="20"/>
      <c r="Q28" s="20">
        <f t="shared" ref="Q28:Q38" si="1">O28*K28</f>
        <v>454.86287999999996</v>
      </c>
      <c r="R28" s="20">
        <f t="shared" ref="R28:R90" si="2">IF(N28=$R$12,Q28,0)</f>
        <v>454.86287999999996</v>
      </c>
      <c r="S28" s="20">
        <f t="shared" ref="S28:S90" si="3">IF(N28=$S$12,Q28,0)</f>
        <v>0</v>
      </c>
      <c r="T28" s="20">
        <f t="shared" ref="T28:T90" si="4">IF(N28=$T$12,Q28,0)</f>
        <v>0</v>
      </c>
      <c r="U28" s="20">
        <f t="shared" ref="U28:U90" si="5">IF(N28=$U$12,Q28,0)</f>
        <v>0</v>
      </c>
      <c r="V28" s="152" t="s">
        <v>185</v>
      </c>
      <c r="W28">
        <f>IF(ISNA(VLOOKUP(I28,Матер!$A$2:$C$85,3,0)),0,VLOOKUP(I28,Матер!$A$2:$C$85,3,0))</f>
        <v>190000</v>
      </c>
      <c r="X28"/>
      <c r="Y28" s="20"/>
      <c r="AA28" s="11">
        <f>+Z28*D28</f>
        <v>0</v>
      </c>
    </row>
    <row r="29" spans="1:27" s="17" customFormat="1">
      <c r="A29" s="12"/>
      <c r="B29" s="23"/>
      <c r="C29" s="8"/>
      <c r="D29" s="8"/>
      <c r="E29" s="8"/>
      <c r="F29" s="8"/>
      <c r="G29" s="8"/>
      <c r="H29" s="8"/>
      <c r="I29" s="169" t="s">
        <v>75</v>
      </c>
      <c r="J29" s="8" t="str">
        <f>IF(ISNA(VLOOKUP(I29,Матер!$A$2:$C$85,2,0)),0,VLOOKUP(I29,Матер!$A$2:$C$85,2,0))</f>
        <v>шт</v>
      </c>
      <c r="K29" s="10">
        <f>D19</f>
        <v>20</v>
      </c>
      <c r="L29" s="8" t="s">
        <v>142</v>
      </c>
      <c r="M29" s="20"/>
      <c r="N29" s="20">
        <v>1</v>
      </c>
      <c r="O29" s="20">
        <v>0.19</v>
      </c>
      <c r="P29" s="20"/>
      <c r="Q29" s="20">
        <f t="shared" si="1"/>
        <v>3.8</v>
      </c>
      <c r="R29" s="20">
        <f t="shared" si="2"/>
        <v>3.8</v>
      </c>
      <c r="S29" s="20">
        <f t="shared" si="3"/>
        <v>0</v>
      </c>
      <c r="T29" s="20">
        <f t="shared" si="4"/>
        <v>0</v>
      </c>
      <c r="U29" s="20">
        <f t="shared" si="5"/>
        <v>0</v>
      </c>
      <c r="V29" s="20"/>
      <c r="W29">
        <f>IF(ISNA(VLOOKUP(I29,Матер!$A$2:$C$85,3,0)),0,VLOOKUP(I29,Матер!$A$2:$C$85,3,0))</f>
        <v>350</v>
      </c>
      <c r="X29" t="e">
        <f>SUM(#REF!)</f>
        <v>#REF!</v>
      </c>
      <c r="Y29" s="20"/>
      <c r="AA29" s="11">
        <f>+Z29*D29</f>
        <v>0</v>
      </c>
    </row>
    <row r="30" spans="1:27" s="11" customFormat="1" ht="76.5">
      <c r="A30" s="8">
        <v>9</v>
      </c>
      <c r="B30" s="170" t="s">
        <v>209</v>
      </c>
      <c r="C30" s="12" t="s">
        <v>15</v>
      </c>
      <c r="D30" s="8">
        <f>D13</f>
        <v>11</v>
      </c>
      <c r="E30" s="23"/>
      <c r="F30" s="23"/>
      <c r="G30" s="8"/>
      <c r="H30" s="8"/>
      <c r="I30" s="169" t="s">
        <v>84</v>
      </c>
      <c r="J30" s="8" t="str">
        <f>IF(ISNA(VLOOKUP(I30,Матер!$A$2:$C$85,2,0)),0,VLOOKUP(I30,Матер!$A$2:$C$85,2,0))</f>
        <v>шт</v>
      </c>
      <c r="K30" s="8">
        <f>D30*2</f>
        <v>22</v>
      </c>
      <c r="L30" s="8" t="s">
        <v>141</v>
      </c>
      <c r="M30" s="20"/>
      <c r="N30" s="125">
        <v>1</v>
      </c>
      <c r="O30" s="125">
        <v>1180</v>
      </c>
      <c r="P30" s="125"/>
      <c r="Q30" s="125">
        <f t="shared" si="1"/>
        <v>25960</v>
      </c>
      <c r="R30" s="125">
        <f t="shared" si="2"/>
        <v>25960</v>
      </c>
      <c r="S30" s="125">
        <f t="shared" si="3"/>
        <v>0</v>
      </c>
      <c r="T30" s="125">
        <f t="shared" si="4"/>
        <v>0</v>
      </c>
      <c r="U30" s="125">
        <f t="shared" si="5"/>
        <v>0</v>
      </c>
      <c r="V30" s="20"/>
      <c r="W30">
        <f>IF(ISNA(VLOOKUP(I30,Матер!$A$2:$C$85,3,0)),0,VLOOKUP(I30,Матер!$A$2:$C$85,3,0))</f>
        <v>7800</v>
      </c>
      <c r="X30"/>
      <c r="Y30" s="71" t="s">
        <v>78</v>
      </c>
      <c r="Z30" s="17">
        <v>3095.25</v>
      </c>
      <c r="AA30" s="11">
        <f>+Z30*D30/1000</f>
        <v>34.047750000000001</v>
      </c>
    </row>
    <row r="31" spans="1:27" s="11" customFormat="1">
      <c r="A31" s="8"/>
      <c r="B31" s="19"/>
      <c r="C31" s="12"/>
      <c r="D31" s="8"/>
      <c r="E31" s="23"/>
      <c r="F31" s="23"/>
      <c r="G31" s="8"/>
      <c r="H31" s="8"/>
      <c r="I31" s="169" t="s">
        <v>169</v>
      </c>
      <c r="J31" s="8" t="s">
        <v>15</v>
      </c>
      <c r="K31" s="8">
        <f>D30*1</f>
        <v>11</v>
      </c>
      <c r="L31" s="8" t="s">
        <v>142</v>
      </c>
      <c r="M31" s="20"/>
      <c r="N31" s="20">
        <v>1</v>
      </c>
      <c r="O31" s="149">
        <v>7</v>
      </c>
      <c r="P31" s="20"/>
      <c r="Q31" s="20">
        <f t="shared" si="1"/>
        <v>77</v>
      </c>
      <c r="R31" s="20">
        <f t="shared" si="2"/>
        <v>77</v>
      </c>
      <c r="S31" s="20">
        <f t="shared" si="3"/>
        <v>0</v>
      </c>
      <c r="T31" s="20">
        <f t="shared" si="4"/>
        <v>0</v>
      </c>
      <c r="U31" s="20">
        <f t="shared" si="5"/>
        <v>0</v>
      </c>
      <c r="V31" s="143" t="s">
        <v>178</v>
      </c>
      <c r="W31">
        <f>IF(ISNA(VLOOKUP(I31,Матер!$A$2:$C$85,3,0)),0,VLOOKUP(I31,Матер!$A$2:$C$85,3,0))</f>
        <v>0</v>
      </c>
      <c r="X31"/>
      <c r="Y31" s="20"/>
      <c r="AA31" s="11">
        <f>+Z31*D31</f>
        <v>0</v>
      </c>
    </row>
    <row r="32" spans="1:27" s="11" customFormat="1">
      <c r="A32" s="8"/>
      <c r="B32" s="19"/>
      <c r="C32" s="12"/>
      <c r="D32" s="8"/>
      <c r="E32" s="23"/>
      <c r="F32" s="23"/>
      <c r="G32" s="8"/>
      <c r="H32" s="8"/>
      <c r="I32" s="169" t="s">
        <v>86</v>
      </c>
      <c r="J32" s="8" t="str">
        <f>IF(ISNA(VLOOKUP(I32,Матер!$A$2:$C$85,2,0)),0,VLOOKUP(I32,Матер!$A$2:$C$85,2,0))</f>
        <v>шт</v>
      </c>
      <c r="K32" s="8">
        <f>+D30*2</f>
        <v>22</v>
      </c>
      <c r="L32" s="8" t="s">
        <v>142</v>
      </c>
      <c r="M32" s="20"/>
      <c r="N32" s="20">
        <v>1</v>
      </c>
      <c r="O32" s="20">
        <v>0.28999999999999998</v>
      </c>
      <c r="P32" s="20"/>
      <c r="Q32" s="20">
        <f t="shared" si="1"/>
        <v>6.38</v>
      </c>
      <c r="R32" s="20">
        <f t="shared" si="2"/>
        <v>6.38</v>
      </c>
      <c r="S32" s="20">
        <f t="shared" si="3"/>
        <v>0</v>
      </c>
      <c r="T32" s="20">
        <f t="shared" si="4"/>
        <v>0</v>
      </c>
      <c r="U32" s="20">
        <f t="shared" si="5"/>
        <v>0</v>
      </c>
      <c r="V32" s="20"/>
      <c r="W32">
        <f>IF(ISNA(VLOOKUP(I32,Матер!$A$2:$C$85,3,0)),0,VLOOKUP(I32,Матер!$A$2:$C$85,3,0))</f>
        <v>100</v>
      </c>
      <c r="X32"/>
      <c r="Y32" s="20"/>
      <c r="AA32" s="11">
        <f>+Z32*D32</f>
        <v>0</v>
      </c>
    </row>
    <row r="33" spans="1:27" s="11" customFormat="1">
      <c r="A33" s="8"/>
      <c r="B33" s="19"/>
      <c r="C33" s="12"/>
      <c r="D33" s="8"/>
      <c r="E33" s="23"/>
      <c r="F33" s="23"/>
      <c r="G33" s="8"/>
      <c r="H33" s="8"/>
      <c r="I33" s="169" t="s">
        <v>74</v>
      </c>
      <c r="J33" s="8" t="s">
        <v>171</v>
      </c>
      <c r="K33" s="8">
        <f>(D30*3/50*100)/100</f>
        <v>0.66</v>
      </c>
      <c r="L33" s="8" t="s">
        <v>142</v>
      </c>
      <c r="M33" s="20"/>
      <c r="N33" s="20">
        <v>1</v>
      </c>
      <c r="O33" s="20">
        <v>3.9</v>
      </c>
      <c r="P33" s="20"/>
      <c r="Q33" s="20">
        <f t="shared" si="1"/>
        <v>2.5739999999999998</v>
      </c>
      <c r="R33" s="20">
        <f t="shared" si="2"/>
        <v>2.5739999999999998</v>
      </c>
      <c r="S33" s="20">
        <f t="shared" si="3"/>
        <v>0</v>
      </c>
      <c r="T33" s="20">
        <f t="shared" si="4"/>
        <v>0</v>
      </c>
      <c r="U33" s="20">
        <f t="shared" si="5"/>
        <v>0</v>
      </c>
      <c r="V33" s="20"/>
      <c r="W33">
        <f>IF(ISNA(VLOOKUP(I33,Матер!$A$2:$C$85,3,0)),0,VLOOKUP(I33,Матер!$A$2:$C$85,3,0))</f>
        <v>1500</v>
      </c>
      <c r="X33"/>
      <c r="Y33" s="20"/>
    </row>
    <row r="34" spans="1:27" s="11" customFormat="1">
      <c r="A34" s="8"/>
      <c r="B34" s="8"/>
      <c r="C34" s="8"/>
      <c r="D34" s="8"/>
      <c r="E34" s="23"/>
      <c r="F34" s="23"/>
      <c r="G34" s="8"/>
      <c r="H34" s="8"/>
      <c r="I34" s="169" t="s">
        <v>89</v>
      </c>
      <c r="J34" s="8" t="s">
        <v>15</v>
      </c>
      <c r="K34" s="8">
        <f>D30*2</f>
        <v>22</v>
      </c>
      <c r="L34" s="8" t="s">
        <v>142</v>
      </c>
      <c r="M34" s="20"/>
      <c r="N34" s="20">
        <v>1</v>
      </c>
      <c r="O34" s="20">
        <v>0.02</v>
      </c>
      <c r="P34" s="20"/>
      <c r="Q34" s="20">
        <f t="shared" si="1"/>
        <v>0.44</v>
      </c>
      <c r="R34" s="20">
        <f t="shared" si="2"/>
        <v>0.44</v>
      </c>
      <c r="S34" s="20">
        <f t="shared" si="3"/>
        <v>0</v>
      </c>
      <c r="T34" s="20">
        <f t="shared" si="4"/>
        <v>0</v>
      </c>
      <c r="U34" s="20">
        <f t="shared" si="5"/>
        <v>0</v>
      </c>
      <c r="V34" s="20"/>
      <c r="W34">
        <f>IF(ISNA(VLOOKUP(I34,Матер!$A$2:$C$85,3,0)),0,VLOOKUP(I34,Матер!$A$2:$C$85,3,0))</f>
        <v>987.06</v>
      </c>
      <c r="X34"/>
      <c r="Y34" s="20"/>
      <c r="AA34" s="11">
        <f>+Z34*D34</f>
        <v>0</v>
      </c>
    </row>
    <row r="35" spans="1:27" s="11" customFormat="1">
      <c r="A35" s="8"/>
      <c r="B35" s="8"/>
      <c r="C35" s="8"/>
      <c r="D35" s="8"/>
      <c r="E35" s="23"/>
      <c r="F35" s="23"/>
      <c r="G35" s="8"/>
      <c r="H35" s="8"/>
      <c r="I35" s="169" t="s">
        <v>70</v>
      </c>
      <c r="J35" s="8" t="str">
        <f>IF(ISNA(VLOOKUP(I35,Матер!$A$2:$C$85,2,0)),0,VLOOKUP(I35,Матер!$A$2:$C$85,2,0))</f>
        <v>шт</v>
      </c>
      <c r="K35" s="12">
        <f>D30*4</f>
        <v>44</v>
      </c>
      <c r="L35" s="8" t="s">
        <v>142</v>
      </c>
      <c r="M35" s="20"/>
      <c r="N35" s="20">
        <v>1</v>
      </c>
      <c r="O35" s="20">
        <v>1.4999999999999999E-2</v>
      </c>
      <c r="P35" s="20"/>
      <c r="Q35" s="20">
        <f t="shared" si="1"/>
        <v>0.65999999999999992</v>
      </c>
      <c r="R35" s="20">
        <f t="shared" si="2"/>
        <v>0.65999999999999992</v>
      </c>
      <c r="S35" s="20">
        <f t="shared" si="3"/>
        <v>0</v>
      </c>
      <c r="T35" s="20">
        <f t="shared" si="4"/>
        <v>0</v>
      </c>
      <c r="U35" s="20">
        <f t="shared" si="5"/>
        <v>0</v>
      </c>
      <c r="V35" s="20"/>
      <c r="W35">
        <f>IF(ISNA(VLOOKUP(I35,Матер!$A$2:$C$85,3,0)),0,VLOOKUP(I35,Матер!$A$2:$C$85,3,0))</f>
        <v>3.5169999999999999</v>
      </c>
      <c r="X35"/>
      <c r="Y35" s="20"/>
      <c r="AA35" s="11">
        <f>+Z35*D35</f>
        <v>0</v>
      </c>
    </row>
    <row r="36" spans="1:27" s="11" customFormat="1">
      <c r="A36" s="8"/>
      <c r="B36" s="8"/>
      <c r="C36" s="8"/>
      <c r="D36" s="8"/>
      <c r="E36" s="23"/>
      <c r="F36" s="23"/>
      <c r="G36" s="8"/>
      <c r="H36" s="8"/>
      <c r="I36" s="169" t="s">
        <v>36</v>
      </c>
      <c r="J36" s="8" t="str">
        <f>IF(ISNA(VLOOKUP(I36,Матер!$A$2:$C$85,2,0)),0,VLOOKUP(I36,Матер!$A$2:$C$85,2,0))</f>
        <v>шт</v>
      </c>
      <c r="K36" s="12">
        <f>+D30*2</f>
        <v>22</v>
      </c>
      <c r="L36" s="8" t="s">
        <v>142</v>
      </c>
      <c r="M36" s="20"/>
      <c r="N36" s="20">
        <v>1</v>
      </c>
      <c r="O36" s="20">
        <v>0.46</v>
      </c>
      <c r="P36" s="20"/>
      <c r="Q36" s="20">
        <f t="shared" si="1"/>
        <v>10.120000000000001</v>
      </c>
      <c r="R36" s="20">
        <f t="shared" si="2"/>
        <v>10.120000000000001</v>
      </c>
      <c r="S36" s="20">
        <f t="shared" si="3"/>
        <v>0</v>
      </c>
      <c r="T36" s="20">
        <f t="shared" si="4"/>
        <v>0</v>
      </c>
      <c r="U36" s="20">
        <f t="shared" si="5"/>
        <v>0</v>
      </c>
      <c r="V36" s="20"/>
      <c r="W36">
        <f>IF(ISNA(VLOOKUP(I36,Матер!$A$2:$C$85,3,0)),0,VLOOKUP(I36,Матер!$A$2:$C$85,3,0))</f>
        <v>284.64</v>
      </c>
      <c r="X36"/>
      <c r="Y36" s="20"/>
      <c r="AA36" s="11">
        <f>+Z36*D36</f>
        <v>0</v>
      </c>
    </row>
    <row r="37" spans="1:27" s="11" customFormat="1" ht="25.5">
      <c r="A37" s="8"/>
      <c r="B37" s="8"/>
      <c r="C37" s="8"/>
      <c r="D37" s="8"/>
      <c r="E37" s="151"/>
      <c r="F37" s="151"/>
      <c r="G37" s="151"/>
      <c r="H37" s="151"/>
      <c r="I37" s="169" t="s">
        <v>92</v>
      </c>
      <c r="J37" s="8" t="str">
        <f>IF(ISNA(VLOOKUP(I37,Матер!$A$2:$C$85,2,0)),0,VLOOKUP(I37,Матер!$A$2:$C$85,2,0))</f>
        <v>кг</v>
      </c>
      <c r="K37" s="12">
        <f>+D30*8</f>
        <v>88</v>
      </c>
      <c r="L37" s="8" t="s">
        <v>142</v>
      </c>
      <c r="M37" s="20"/>
      <c r="N37" s="20">
        <v>3</v>
      </c>
      <c r="O37" s="149">
        <v>1</v>
      </c>
      <c r="P37" s="20"/>
      <c r="Q37" s="20">
        <f t="shared" si="1"/>
        <v>88</v>
      </c>
      <c r="R37" s="20">
        <f>IF(N37=$R$12,Q37,0)</f>
        <v>0</v>
      </c>
      <c r="S37" s="20">
        <f t="shared" si="3"/>
        <v>0</v>
      </c>
      <c r="T37" s="20">
        <f>IF(N37=$T$12,Q37,0)</f>
        <v>88</v>
      </c>
      <c r="U37" s="20">
        <f t="shared" si="5"/>
        <v>0</v>
      </c>
      <c r="V37" s="143" t="s">
        <v>178</v>
      </c>
      <c r="W37">
        <f>IF(ISNA(VLOOKUP(I37,Матер!$A$2:$C$85,3,0)),0,VLOOKUP(I37,Матер!$A$2:$C$85,3,0))</f>
        <v>80</v>
      </c>
      <c r="X37" t="e">
        <f>SUM(#REF!)</f>
        <v>#REF!</v>
      </c>
      <c r="Y37" s="20"/>
    </row>
    <row r="38" spans="1:27" s="11" customFormat="1">
      <c r="A38" s="8"/>
      <c r="B38" s="8"/>
      <c r="C38" s="8"/>
      <c r="D38" s="8"/>
      <c r="E38" s="23"/>
      <c r="F38" s="23"/>
      <c r="G38" s="8"/>
      <c r="H38" s="8"/>
      <c r="I38" s="169" t="s">
        <v>174</v>
      </c>
      <c r="J38" s="8" t="s">
        <v>16</v>
      </c>
      <c r="K38" s="12">
        <f>D30*0.4</f>
        <v>4.4000000000000004</v>
      </c>
      <c r="L38" s="8" t="s">
        <v>142</v>
      </c>
      <c r="M38" s="20"/>
      <c r="N38" s="20">
        <v>3</v>
      </c>
      <c r="O38" s="149">
        <v>1</v>
      </c>
      <c r="P38" s="20"/>
      <c r="Q38" s="20">
        <f t="shared" si="1"/>
        <v>4.4000000000000004</v>
      </c>
      <c r="R38" s="20">
        <f t="shared" si="2"/>
        <v>0</v>
      </c>
      <c r="S38" s="20">
        <f t="shared" si="3"/>
        <v>0</v>
      </c>
      <c r="T38" s="20">
        <f t="shared" si="4"/>
        <v>4.4000000000000004</v>
      </c>
      <c r="U38" s="20">
        <f t="shared" si="5"/>
        <v>0</v>
      </c>
      <c r="V38" s="143" t="s">
        <v>178</v>
      </c>
      <c r="W38"/>
      <c r="X38"/>
      <c r="Y38" s="20"/>
    </row>
    <row r="39" spans="1:27" s="11" customFormat="1">
      <c r="A39" s="8"/>
      <c r="B39" s="8"/>
      <c r="C39" s="8"/>
      <c r="D39" s="8"/>
      <c r="E39" s="23"/>
      <c r="F39" s="23"/>
      <c r="G39" s="8"/>
      <c r="H39" s="8"/>
      <c r="I39" s="169" t="s">
        <v>46</v>
      </c>
      <c r="J39" s="8" t="s">
        <v>16</v>
      </c>
      <c r="K39" s="171">
        <f>D30*9.5*0.257</f>
        <v>26.8565</v>
      </c>
      <c r="L39" s="8" t="s">
        <v>142</v>
      </c>
      <c r="M39" s="20"/>
      <c r="N39" s="20">
        <v>1</v>
      </c>
      <c r="O39" s="20">
        <v>1</v>
      </c>
      <c r="P39" s="20"/>
      <c r="Q39" s="77">
        <f>O39*K39</f>
        <v>26.8565</v>
      </c>
      <c r="R39" s="77">
        <f>IF(N39=$R$12,Q39,0)</f>
        <v>26.8565</v>
      </c>
      <c r="S39" s="20">
        <f t="shared" si="3"/>
        <v>0</v>
      </c>
      <c r="T39" s="20">
        <f t="shared" si="4"/>
        <v>0</v>
      </c>
      <c r="U39" s="20">
        <f t="shared" si="5"/>
        <v>0</v>
      </c>
      <c r="V39" s="20"/>
      <c r="W39"/>
      <c r="X39"/>
      <c r="Y39" s="20"/>
    </row>
    <row r="40" spans="1:27" s="11" customFormat="1">
      <c r="A40" s="8"/>
      <c r="B40" s="8"/>
      <c r="C40" s="8"/>
      <c r="D40" s="8"/>
      <c r="E40" s="23"/>
      <c r="F40" s="23"/>
      <c r="G40" s="8"/>
      <c r="H40" s="8"/>
      <c r="I40" s="169" t="s">
        <v>49</v>
      </c>
      <c r="J40" s="8" t="s">
        <v>16</v>
      </c>
      <c r="K40" s="171">
        <f>D30*3*1.192</f>
        <v>39.335999999999999</v>
      </c>
      <c r="L40" s="8" t="s">
        <v>142</v>
      </c>
      <c r="M40" s="20"/>
      <c r="N40" s="20">
        <v>1</v>
      </c>
      <c r="O40" s="20">
        <v>1</v>
      </c>
      <c r="P40" s="20"/>
      <c r="Q40" s="77">
        <f>O40*K40</f>
        <v>39.335999999999999</v>
      </c>
      <c r="R40" s="77">
        <f t="shared" si="2"/>
        <v>39.335999999999999</v>
      </c>
      <c r="S40" s="20">
        <f t="shared" si="3"/>
        <v>0</v>
      </c>
      <c r="T40" s="20">
        <f t="shared" si="4"/>
        <v>0</v>
      </c>
      <c r="U40" s="20">
        <f t="shared" si="5"/>
        <v>0</v>
      </c>
      <c r="V40" s="20"/>
      <c r="W40"/>
      <c r="X40"/>
      <c r="Y40" s="20"/>
    </row>
    <row r="41" spans="1:27" s="11" customFormat="1">
      <c r="A41" s="8"/>
      <c r="B41" s="8"/>
      <c r="C41" s="8"/>
      <c r="D41" s="8"/>
      <c r="E41" s="23"/>
      <c r="F41" s="23"/>
      <c r="G41" s="8"/>
      <c r="H41" s="8"/>
      <c r="I41" s="169" t="s">
        <v>45</v>
      </c>
      <c r="J41" s="8" t="str">
        <f>IF(ISNA(VLOOKUP(I41,Матер!$A$2:$C$85,2,0)),0,VLOOKUP(I41,Матер!$A$2:$C$85,2,0))</f>
        <v>шт</v>
      </c>
      <c r="K41" s="21">
        <f>5*D30</f>
        <v>55</v>
      </c>
      <c r="L41" s="8" t="s">
        <v>142</v>
      </c>
      <c r="M41" s="20"/>
      <c r="N41" s="20">
        <v>1</v>
      </c>
      <c r="O41" s="20">
        <v>0.42</v>
      </c>
      <c r="P41" s="20"/>
      <c r="Q41" s="20">
        <f t="shared" ref="Q41:Q48" si="6">O41*K41</f>
        <v>23.099999999999998</v>
      </c>
      <c r="R41" s="20">
        <f t="shared" si="2"/>
        <v>23.099999999999998</v>
      </c>
      <c r="S41" s="20">
        <f t="shared" si="3"/>
        <v>0</v>
      </c>
      <c r="T41" s="20">
        <f t="shared" si="4"/>
        <v>0</v>
      </c>
      <c r="U41" s="20">
        <f t="shared" si="5"/>
        <v>0</v>
      </c>
      <c r="V41" s="20"/>
      <c r="W41"/>
      <c r="X41"/>
      <c r="Y41" s="20"/>
    </row>
    <row r="42" spans="1:27" s="11" customFormat="1">
      <c r="A42" s="8"/>
      <c r="B42" s="8"/>
      <c r="C42" s="8"/>
      <c r="D42" s="8"/>
      <c r="E42" s="23"/>
      <c r="F42" s="23"/>
      <c r="G42" s="8"/>
      <c r="H42" s="8"/>
      <c r="I42" s="169" t="s">
        <v>94</v>
      </c>
      <c r="J42" s="8" t="str">
        <f>IF(ISNA(VLOOKUP(I42,Матер!$A$2:$C$85,2,0)),0,VLOOKUP(I42,Матер!$A$2:$C$85,2,0))</f>
        <v>шт</v>
      </c>
      <c r="K42" s="21">
        <f>D30</f>
        <v>11</v>
      </c>
      <c r="L42" s="8" t="s">
        <v>142</v>
      </c>
      <c r="M42" s="20"/>
      <c r="N42" s="20">
        <v>1</v>
      </c>
      <c r="O42" s="20">
        <v>0.19</v>
      </c>
      <c r="P42" s="20"/>
      <c r="Q42" s="20">
        <f t="shared" si="6"/>
        <v>2.09</v>
      </c>
      <c r="R42" s="20">
        <f t="shared" si="2"/>
        <v>2.09</v>
      </c>
      <c r="S42" s="20">
        <f t="shared" si="3"/>
        <v>0</v>
      </c>
      <c r="T42" s="20">
        <f t="shared" si="4"/>
        <v>0</v>
      </c>
      <c r="U42" s="20">
        <f t="shared" si="5"/>
        <v>0</v>
      </c>
      <c r="V42" s="20"/>
      <c r="W42"/>
      <c r="X42"/>
      <c r="Y42" s="20"/>
    </row>
    <row r="43" spans="1:27" s="11" customFormat="1" ht="63.75">
      <c r="A43" s="12">
        <v>10</v>
      </c>
      <c r="B43" s="170" t="s">
        <v>210</v>
      </c>
      <c r="C43" s="12" t="s">
        <v>15</v>
      </c>
      <c r="D43" s="8">
        <f>D19</f>
        <v>20</v>
      </c>
      <c r="E43" s="23"/>
      <c r="F43" s="23"/>
      <c r="G43" s="8"/>
      <c r="H43" s="8"/>
      <c r="I43" s="169" t="s">
        <v>84</v>
      </c>
      <c r="J43" s="8" t="str">
        <f>IF(ISNA(VLOOKUP(I43,Матер!$A$2:$C$85,2,0)),0,VLOOKUP(I43,Матер!$A$2:$C$85,2,0))</f>
        <v>шт</v>
      </c>
      <c r="K43" s="12">
        <f>+D43</f>
        <v>20</v>
      </c>
      <c r="L43" s="8" t="s">
        <v>141</v>
      </c>
      <c r="M43" s="20"/>
      <c r="N43" s="125">
        <v>1</v>
      </c>
      <c r="O43" s="125">
        <v>1180</v>
      </c>
      <c r="P43" s="125"/>
      <c r="Q43" s="125">
        <f t="shared" si="6"/>
        <v>23600</v>
      </c>
      <c r="R43" s="125">
        <f t="shared" si="2"/>
        <v>23600</v>
      </c>
      <c r="S43" s="125">
        <f t="shared" si="3"/>
        <v>0</v>
      </c>
      <c r="T43" s="125">
        <f t="shared" si="4"/>
        <v>0</v>
      </c>
      <c r="U43" s="125">
        <f t="shared" si="5"/>
        <v>0</v>
      </c>
      <c r="V43" s="20"/>
      <c r="W43">
        <f>IF(ISNA(VLOOKUP(I43,Матер!$A$2:$C$85,3,0)),0,VLOOKUP(I43,Матер!$A$2:$C$85,3,0))</f>
        <v>7800</v>
      </c>
      <c r="X43"/>
      <c r="Y43" s="71" t="s">
        <v>77</v>
      </c>
      <c r="Z43" s="17">
        <v>1591</v>
      </c>
      <c r="AA43" s="11">
        <f>+Z43*D43/1000</f>
        <v>31.82</v>
      </c>
    </row>
    <row r="44" spans="1:27" s="11" customFormat="1">
      <c r="A44" s="12"/>
      <c r="B44" s="35"/>
      <c r="C44" s="12"/>
      <c r="D44" s="12"/>
      <c r="E44" s="23"/>
      <c r="F44" s="23"/>
      <c r="G44" s="8"/>
      <c r="H44" s="8"/>
      <c r="I44" s="169" t="s">
        <v>85</v>
      </c>
      <c r="J44" s="8" t="str">
        <f>IF(ISNA(VLOOKUP(I44,Матер!$A$2:$C$85,2,0)),0,VLOOKUP(I44,Матер!$A$2:$C$85,2,0))</f>
        <v>шт</v>
      </c>
      <c r="K44" s="12">
        <f>+D43</f>
        <v>20</v>
      </c>
      <c r="L44" s="8" t="s">
        <v>142</v>
      </c>
      <c r="M44" s="20"/>
      <c r="N44" s="20">
        <v>1</v>
      </c>
      <c r="O44" s="20">
        <v>0.65</v>
      </c>
      <c r="P44" s="20"/>
      <c r="Q44" s="20">
        <f t="shared" si="6"/>
        <v>13</v>
      </c>
      <c r="R44" s="20">
        <f t="shared" si="2"/>
        <v>13</v>
      </c>
      <c r="S44" s="20">
        <f t="shared" si="3"/>
        <v>0</v>
      </c>
      <c r="T44" s="20">
        <f t="shared" si="4"/>
        <v>0</v>
      </c>
      <c r="U44" s="20">
        <f t="shared" si="5"/>
        <v>0</v>
      </c>
      <c r="V44" s="20"/>
      <c r="W44">
        <f>IF(ISNA(VLOOKUP(I44,Матер!$A$2:$C$85,3,0)),0,VLOOKUP(I44,Матер!$A$2:$C$85,3,0))</f>
        <v>186.75</v>
      </c>
      <c r="X44"/>
      <c r="Y44" s="20"/>
      <c r="AA44" s="11">
        <f>+Z44*D44</f>
        <v>0</v>
      </c>
    </row>
    <row r="45" spans="1:27" s="11" customFormat="1">
      <c r="A45" s="12"/>
      <c r="B45" s="35"/>
      <c r="C45" s="12"/>
      <c r="D45" s="12"/>
      <c r="E45" s="23"/>
      <c r="F45" s="23"/>
      <c r="G45" s="8"/>
      <c r="H45" s="8"/>
      <c r="I45" s="169" t="s">
        <v>74</v>
      </c>
      <c r="J45" s="8" t="s">
        <v>171</v>
      </c>
      <c r="K45" s="8">
        <f>(D43*3/50*100)/100</f>
        <v>1.2</v>
      </c>
      <c r="L45" s="8" t="s">
        <v>142</v>
      </c>
      <c r="M45" s="20"/>
      <c r="N45" s="20">
        <v>1</v>
      </c>
      <c r="O45" s="20">
        <v>3.9</v>
      </c>
      <c r="P45" s="20"/>
      <c r="Q45" s="20">
        <f t="shared" si="6"/>
        <v>4.68</v>
      </c>
      <c r="R45" s="20">
        <f t="shared" si="2"/>
        <v>4.68</v>
      </c>
      <c r="S45" s="20">
        <f t="shared" si="3"/>
        <v>0</v>
      </c>
      <c r="T45" s="20">
        <f t="shared" si="4"/>
        <v>0</v>
      </c>
      <c r="U45" s="20">
        <f t="shared" si="5"/>
        <v>0</v>
      </c>
      <c r="V45" s="20"/>
      <c r="W45">
        <f>IF(ISNA(VLOOKUP(I45,Матер!$A$2:$C$85,3,0)),0,VLOOKUP(I45,Матер!$A$2:$C$85,3,0))</f>
        <v>1500</v>
      </c>
      <c r="X45"/>
      <c r="Y45" s="20"/>
    </row>
    <row r="46" spans="1:27" s="11" customFormat="1">
      <c r="A46" s="12"/>
      <c r="B46" s="35"/>
      <c r="C46" s="12"/>
      <c r="D46" s="12"/>
      <c r="E46" s="23"/>
      <c r="F46" s="23"/>
      <c r="G46" s="8"/>
      <c r="H46" s="8"/>
      <c r="I46" s="169" t="s">
        <v>72</v>
      </c>
      <c r="J46" s="8" t="str">
        <f>IF(ISNA(VLOOKUP(I46,Матер!$A$2:$C$85,2,0)),0,VLOOKUP(I46,Матер!$A$2:$C$85,2,0))</f>
        <v>упак/100шт</v>
      </c>
      <c r="K46" s="8">
        <f>(D43*2)/100</f>
        <v>0.4</v>
      </c>
      <c r="L46" s="8" t="s">
        <v>142</v>
      </c>
      <c r="M46" s="20"/>
      <c r="N46" s="20">
        <v>1</v>
      </c>
      <c r="O46" s="20">
        <v>1</v>
      </c>
      <c r="P46" s="20"/>
      <c r="Q46" s="20">
        <f t="shared" si="6"/>
        <v>0.4</v>
      </c>
      <c r="R46" s="20">
        <f t="shared" si="2"/>
        <v>0.4</v>
      </c>
      <c r="S46" s="20">
        <f t="shared" si="3"/>
        <v>0</v>
      </c>
      <c r="T46" s="20">
        <f t="shared" si="4"/>
        <v>0</v>
      </c>
      <c r="U46" s="20">
        <f t="shared" si="5"/>
        <v>0</v>
      </c>
      <c r="V46" s="20"/>
      <c r="W46">
        <f>IF(ISNA(VLOOKUP(I46,Матер!$A$2:$C$85,3,0)),0,VLOOKUP(I46,Матер!$A$2:$C$85,3,0))</f>
        <v>600</v>
      </c>
      <c r="X46"/>
      <c r="Y46" s="20"/>
      <c r="AA46" s="11">
        <f>+Z46*D46</f>
        <v>0</v>
      </c>
    </row>
    <row r="47" spans="1:27" s="11" customFormat="1">
      <c r="A47" s="12"/>
      <c r="B47" s="35"/>
      <c r="C47" s="12"/>
      <c r="D47" s="12"/>
      <c r="E47" s="23"/>
      <c r="F47" s="23"/>
      <c r="G47" s="8"/>
      <c r="H47" s="8"/>
      <c r="I47" s="169" t="s">
        <v>70</v>
      </c>
      <c r="J47" s="8" t="str">
        <f>IF(ISNA(VLOOKUP(I47,Матер!$A$2:$C$85,2,0)),0,VLOOKUP(I47,Матер!$A$2:$C$85,2,0))</f>
        <v>шт</v>
      </c>
      <c r="K47" s="12">
        <f>+D43*4</f>
        <v>80</v>
      </c>
      <c r="L47" s="8" t="s">
        <v>142</v>
      </c>
      <c r="M47" s="20"/>
      <c r="N47" s="20">
        <v>1</v>
      </c>
      <c r="O47" s="20">
        <v>1.4999999999999999E-2</v>
      </c>
      <c r="P47" s="20"/>
      <c r="Q47" s="20">
        <f t="shared" si="6"/>
        <v>1.2</v>
      </c>
      <c r="R47" s="20">
        <f t="shared" si="2"/>
        <v>1.2</v>
      </c>
      <c r="S47" s="20">
        <f t="shared" si="3"/>
        <v>0</v>
      </c>
      <c r="T47" s="20">
        <f t="shared" si="4"/>
        <v>0</v>
      </c>
      <c r="U47" s="20">
        <f t="shared" si="5"/>
        <v>0</v>
      </c>
      <c r="V47" s="20"/>
      <c r="W47">
        <f>IF(ISNA(VLOOKUP(I47,Матер!$A$2:$C$85,3,0)),0,VLOOKUP(I47,Матер!$A$2:$C$85,3,0))</f>
        <v>3.5169999999999999</v>
      </c>
      <c r="X47"/>
      <c r="Y47" s="20"/>
      <c r="AA47" s="11">
        <f>+Z47*D47</f>
        <v>0</v>
      </c>
    </row>
    <row r="48" spans="1:27" s="11" customFormat="1">
      <c r="A48" s="12"/>
      <c r="B48" s="35"/>
      <c r="C48" s="12"/>
      <c r="D48" s="12"/>
      <c r="E48" s="23"/>
      <c r="F48" s="23"/>
      <c r="G48" s="8"/>
      <c r="H48" s="8"/>
      <c r="I48" s="169" t="s">
        <v>174</v>
      </c>
      <c r="J48" s="8" t="s">
        <v>16</v>
      </c>
      <c r="K48" s="12">
        <f>+D43*0.4</f>
        <v>8</v>
      </c>
      <c r="L48" s="8" t="s">
        <v>142</v>
      </c>
      <c r="M48" s="20"/>
      <c r="N48" s="20">
        <v>3</v>
      </c>
      <c r="O48" s="149">
        <v>1</v>
      </c>
      <c r="P48" s="20"/>
      <c r="Q48" s="20">
        <f t="shared" si="6"/>
        <v>8</v>
      </c>
      <c r="R48" s="20">
        <f t="shared" si="2"/>
        <v>0</v>
      </c>
      <c r="S48" s="20">
        <f t="shared" si="3"/>
        <v>0</v>
      </c>
      <c r="T48" s="20">
        <f t="shared" si="4"/>
        <v>8</v>
      </c>
      <c r="U48" s="20">
        <f t="shared" si="5"/>
        <v>0</v>
      </c>
      <c r="V48" s="143" t="s">
        <v>178</v>
      </c>
      <c r="W48">
        <f>IF(ISNA(VLOOKUP(I48,Матер!$A$2:$C$85,3,0)),0,VLOOKUP(I48,Матер!$A$2:$C$85,3,0))</f>
        <v>0</v>
      </c>
      <c r="X48"/>
      <c r="Y48" s="20"/>
      <c r="AA48" s="11">
        <f>+Z48*D48</f>
        <v>0</v>
      </c>
    </row>
    <row r="49" spans="1:27" s="11" customFormat="1">
      <c r="A49" s="12"/>
      <c r="B49" s="35"/>
      <c r="C49" s="12"/>
      <c r="D49" s="12"/>
      <c r="E49" s="23"/>
      <c r="F49" s="23"/>
      <c r="G49" s="8"/>
      <c r="H49" s="8"/>
      <c r="I49" s="169" t="s">
        <v>46</v>
      </c>
      <c r="J49" s="8" t="s">
        <v>16</v>
      </c>
      <c r="K49" s="171">
        <f>D43*9.5*0.257</f>
        <v>48.83</v>
      </c>
      <c r="L49" s="8" t="s">
        <v>142</v>
      </c>
      <c r="M49" s="20"/>
      <c r="N49" s="20">
        <v>1</v>
      </c>
      <c r="O49" s="20">
        <v>1</v>
      </c>
      <c r="P49" s="20"/>
      <c r="Q49" s="77">
        <f>O49*K49</f>
        <v>48.83</v>
      </c>
      <c r="R49" s="77">
        <f t="shared" si="2"/>
        <v>48.83</v>
      </c>
      <c r="S49" s="20">
        <f t="shared" si="3"/>
        <v>0</v>
      </c>
      <c r="T49" s="20">
        <f t="shared" si="4"/>
        <v>0</v>
      </c>
      <c r="U49" s="20">
        <f t="shared" si="5"/>
        <v>0</v>
      </c>
      <c r="V49" s="20"/>
      <c r="W49"/>
      <c r="X49"/>
      <c r="Y49" s="20"/>
    </row>
    <row r="50" spans="1:27" s="11" customFormat="1">
      <c r="A50" s="12"/>
      <c r="B50" s="35"/>
      <c r="C50" s="12"/>
      <c r="D50" s="12"/>
      <c r="E50" s="23"/>
      <c r="F50" s="23"/>
      <c r="G50" s="8"/>
      <c r="H50" s="8"/>
      <c r="I50" s="169" t="s">
        <v>49</v>
      </c>
      <c r="J50" s="8" t="s">
        <v>16</v>
      </c>
      <c r="K50" s="171">
        <f>D43*3*1.192</f>
        <v>71.52</v>
      </c>
      <c r="L50" s="8" t="s">
        <v>142</v>
      </c>
      <c r="M50" s="20"/>
      <c r="N50" s="20">
        <v>1</v>
      </c>
      <c r="O50" s="20">
        <v>1</v>
      </c>
      <c r="P50" s="20"/>
      <c r="Q50" s="77">
        <f>O50*K50</f>
        <v>71.52</v>
      </c>
      <c r="R50" s="77">
        <f t="shared" si="2"/>
        <v>71.52</v>
      </c>
      <c r="S50" s="20">
        <f t="shared" si="3"/>
        <v>0</v>
      </c>
      <c r="T50" s="20">
        <f t="shared" si="4"/>
        <v>0</v>
      </c>
      <c r="U50" s="20">
        <f t="shared" si="5"/>
        <v>0</v>
      </c>
      <c r="V50" s="20"/>
      <c r="W50"/>
      <c r="X50"/>
      <c r="Y50" s="20"/>
    </row>
    <row r="51" spans="1:27" s="11" customFormat="1">
      <c r="A51" s="12"/>
      <c r="B51" s="35"/>
      <c r="C51" s="12"/>
      <c r="D51" s="12"/>
      <c r="E51" s="23"/>
      <c r="F51" s="23"/>
      <c r="G51" s="8"/>
      <c r="H51" s="8"/>
      <c r="I51" s="169" t="s">
        <v>45</v>
      </c>
      <c r="J51" s="8" t="str">
        <f>IF(ISNA(VLOOKUP(I51,Матер!$A$2:$C$85,2,0)),0,VLOOKUP(I51,Матер!$A$2:$C$85,2,0))</f>
        <v>шт</v>
      </c>
      <c r="K51" s="21">
        <f>5*D43</f>
        <v>100</v>
      </c>
      <c r="L51" s="8" t="s">
        <v>142</v>
      </c>
      <c r="M51" s="20"/>
      <c r="N51" s="20">
        <v>1</v>
      </c>
      <c r="O51" s="20">
        <v>0.42</v>
      </c>
      <c r="P51" s="20"/>
      <c r="Q51" s="20">
        <f>O51*K51</f>
        <v>42</v>
      </c>
      <c r="R51" s="20">
        <f t="shared" si="2"/>
        <v>42</v>
      </c>
      <c r="S51" s="20">
        <f t="shared" si="3"/>
        <v>0</v>
      </c>
      <c r="T51" s="20">
        <f t="shared" si="4"/>
        <v>0</v>
      </c>
      <c r="U51" s="20">
        <f t="shared" si="5"/>
        <v>0</v>
      </c>
      <c r="V51" s="20"/>
      <c r="W51"/>
      <c r="X51"/>
      <c r="Y51" s="20"/>
    </row>
    <row r="52" spans="1:27" s="11" customFormat="1">
      <c r="A52" s="12"/>
      <c r="B52" s="35"/>
      <c r="C52" s="12"/>
      <c r="D52" s="12"/>
      <c r="E52" s="23"/>
      <c r="F52" s="23"/>
      <c r="G52" s="8"/>
      <c r="H52" s="8"/>
      <c r="I52" s="169" t="s">
        <v>94</v>
      </c>
      <c r="J52" s="8" t="str">
        <f>IF(ISNA(VLOOKUP(I52,Матер!$A$2:$C$85,2,0)),0,VLOOKUP(I52,Матер!$A$2:$C$85,2,0))</f>
        <v>шт</v>
      </c>
      <c r="K52" s="21">
        <f>D43</f>
        <v>20</v>
      </c>
      <c r="L52" s="8" t="s">
        <v>142</v>
      </c>
      <c r="M52" s="20"/>
      <c r="N52" s="20">
        <v>1</v>
      </c>
      <c r="O52" s="20">
        <v>0.19</v>
      </c>
      <c r="P52" s="20"/>
      <c r="Q52" s="20">
        <f>O52*K52</f>
        <v>3.8</v>
      </c>
      <c r="R52" s="20">
        <f t="shared" si="2"/>
        <v>3.8</v>
      </c>
      <c r="S52" s="20">
        <f t="shared" si="3"/>
        <v>0</v>
      </c>
      <c r="T52" s="20">
        <f t="shared" si="4"/>
        <v>0</v>
      </c>
      <c r="U52" s="20">
        <f t="shared" si="5"/>
        <v>0</v>
      </c>
      <c r="V52" s="20"/>
      <c r="W52"/>
      <c r="X52"/>
      <c r="Y52" s="20"/>
    </row>
    <row r="53" spans="1:27" s="11" customFormat="1" ht="25.5">
      <c r="A53" s="12"/>
      <c r="B53" s="35"/>
      <c r="C53" s="12"/>
      <c r="D53" s="12"/>
      <c r="E53" s="23"/>
      <c r="F53" s="23"/>
      <c r="G53" s="8"/>
      <c r="H53" s="8"/>
      <c r="I53" s="169" t="s">
        <v>92</v>
      </c>
      <c r="J53" s="8" t="str">
        <f>IF(ISNA(VLOOKUP(I53,Матер!$A$2:$C$85,2,0)),0,VLOOKUP(I53,Матер!$A$2:$C$85,2,0))</f>
        <v>кг</v>
      </c>
      <c r="K53" s="12">
        <f>+D43*4</f>
        <v>80</v>
      </c>
      <c r="L53" s="8" t="s">
        <v>142</v>
      </c>
      <c r="M53" s="20"/>
      <c r="N53" s="20">
        <v>3</v>
      </c>
      <c r="O53" s="149">
        <v>1</v>
      </c>
      <c r="P53" s="20"/>
      <c r="Q53" s="20">
        <f>O53*K53</f>
        <v>80</v>
      </c>
      <c r="R53" s="20">
        <f t="shared" si="2"/>
        <v>0</v>
      </c>
      <c r="S53" s="20">
        <f t="shared" si="3"/>
        <v>0</v>
      </c>
      <c r="T53" s="20">
        <f t="shared" si="4"/>
        <v>80</v>
      </c>
      <c r="U53" s="20">
        <f t="shared" si="5"/>
        <v>0</v>
      </c>
      <c r="V53" s="143" t="s">
        <v>178</v>
      </c>
      <c r="W53"/>
      <c r="X53"/>
      <c r="Y53" s="20"/>
    </row>
    <row r="54" spans="1:27" s="11" customFormat="1" ht="25.5" hidden="1" outlineLevel="1">
      <c r="A54" s="12">
        <v>10</v>
      </c>
      <c r="B54" s="19" t="s">
        <v>96</v>
      </c>
      <c r="C54" s="12" t="s">
        <v>15</v>
      </c>
      <c r="D54" s="8">
        <v>0</v>
      </c>
      <c r="E54" s="23"/>
      <c r="F54" s="23"/>
      <c r="G54" s="8"/>
      <c r="H54" s="8"/>
      <c r="I54" s="169" t="s">
        <v>84</v>
      </c>
      <c r="J54" s="8" t="str">
        <f>IF(ISNA(VLOOKUP(I54,Матер!$A$2:$C$85,2,0)),0,VLOOKUP(I54,Матер!$A$2:$C$85,2,0))</f>
        <v>шт</v>
      </c>
      <c r="K54" s="12">
        <f>+D54</f>
        <v>0</v>
      </c>
      <c r="L54" s="8"/>
      <c r="M54" s="20"/>
      <c r="N54" s="20"/>
      <c r="O54" s="20"/>
      <c r="P54" s="20"/>
      <c r="Q54" s="20">
        <f t="shared" ref="Q54:Q78" si="7">O54*K54</f>
        <v>0</v>
      </c>
      <c r="R54" s="20">
        <f t="shared" si="2"/>
        <v>0</v>
      </c>
      <c r="S54" s="20">
        <f t="shared" si="3"/>
        <v>0</v>
      </c>
      <c r="T54" s="20">
        <f t="shared" si="4"/>
        <v>0</v>
      </c>
      <c r="U54" s="20">
        <f t="shared" si="5"/>
        <v>0</v>
      </c>
      <c r="V54" s="20"/>
      <c r="W54">
        <f>IF(ISNA(VLOOKUP(I54,Матер!$A$2:$C$85,3,0)),0,VLOOKUP(I54,Матер!$A$2:$C$85,3,0))</f>
        <v>7800</v>
      </c>
      <c r="X54"/>
      <c r="Y54" s="71" t="s">
        <v>77</v>
      </c>
      <c r="Z54" s="17">
        <v>1591</v>
      </c>
      <c r="AA54" s="11">
        <f>+Z54*D54/1000</f>
        <v>0</v>
      </c>
    </row>
    <row r="55" spans="1:27" s="11" customFormat="1" hidden="1" outlineLevel="1">
      <c r="A55" s="12"/>
      <c r="B55" s="35"/>
      <c r="C55" s="12"/>
      <c r="D55" s="12"/>
      <c r="E55" s="23"/>
      <c r="F55" s="23"/>
      <c r="G55" s="8"/>
      <c r="H55" s="8"/>
      <c r="I55" s="169" t="s">
        <v>86</v>
      </c>
      <c r="J55" s="8" t="str">
        <f>IF(ISNA(VLOOKUP(I55,Матер!$A$2:$C$85,2,0)),0,VLOOKUP(I55,Матер!$A$2:$C$85,2,0))</f>
        <v>шт</v>
      </c>
      <c r="K55" s="12">
        <f>+D54</f>
        <v>0</v>
      </c>
      <c r="L55" s="8"/>
      <c r="M55" s="20"/>
      <c r="N55" s="20"/>
      <c r="O55" s="20"/>
      <c r="P55" s="20"/>
      <c r="Q55" s="20">
        <f t="shared" si="7"/>
        <v>0</v>
      </c>
      <c r="R55" s="20">
        <f t="shared" si="2"/>
        <v>0</v>
      </c>
      <c r="S55" s="20">
        <f t="shared" si="3"/>
        <v>0</v>
      </c>
      <c r="T55" s="20">
        <f t="shared" si="4"/>
        <v>0</v>
      </c>
      <c r="U55" s="20">
        <f t="shared" si="5"/>
        <v>0</v>
      </c>
      <c r="V55" s="20"/>
      <c r="W55">
        <f>IF(ISNA(VLOOKUP(I55,Матер!$A$2:$C$85,3,0)),0,VLOOKUP(I55,Матер!$A$2:$C$85,3,0))</f>
        <v>100</v>
      </c>
      <c r="X55"/>
      <c r="Y55" s="20"/>
      <c r="AA55" s="11">
        <f>+Z55*D55</f>
        <v>0</v>
      </c>
    </row>
    <row r="56" spans="1:27" s="11" customFormat="1" hidden="1" outlineLevel="1">
      <c r="A56" s="12"/>
      <c r="B56" s="35"/>
      <c r="C56" s="12"/>
      <c r="D56" s="12"/>
      <c r="E56" s="23"/>
      <c r="F56" s="23"/>
      <c r="G56" s="8"/>
      <c r="H56" s="8"/>
      <c r="I56" s="169" t="s">
        <v>38</v>
      </c>
      <c r="J56" s="8" t="str">
        <f>IF(ISNA(VLOOKUP(I56,Матер!$A$2:$C$85,2,0)),0,VLOOKUP(I56,Матер!$A$2:$C$85,2,0))</f>
        <v>шт</v>
      </c>
      <c r="K56" s="12">
        <f>+D54</f>
        <v>0</v>
      </c>
      <c r="L56" s="8"/>
      <c r="M56" s="20"/>
      <c r="N56" s="20"/>
      <c r="O56" s="20"/>
      <c r="P56" s="20"/>
      <c r="Q56" s="20">
        <f t="shared" si="7"/>
        <v>0</v>
      </c>
      <c r="R56" s="20">
        <f t="shared" si="2"/>
        <v>0</v>
      </c>
      <c r="S56" s="20">
        <f t="shared" si="3"/>
        <v>0</v>
      </c>
      <c r="T56" s="20">
        <f t="shared" si="4"/>
        <v>0</v>
      </c>
      <c r="U56" s="20">
        <f t="shared" si="5"/>
        <v>0</v>
      </c>
      <c r="V56" s="20"/>
      <c r="W56">
        <f>IF(ISNA(VLOOKUP(I56,Матер!$A$2:$C$85,3,0)),0,VLOOKUP(I56,Матер!$A$2:$C$85,3,0))</f>
        <v>66.81</v>
      </c>
      <c r="X56"/>
      <c r="Y56" s="20"/>
    </row>
    <row r="57" spans="1:27" s="11" customFormat="1" hidden="1" outlineLevel="1">
      <c r="A57" s="12"/>
      <c r="B57" s="35"/>
      <c r="C57" s="12"/>
      <c r="D57" s="12"/>
      <c r="E57" s="23"/>
      <c r="F57" s="23"/>
      <c r="G57" s="8"/>
      <c r="H57" s="8"/>
      <c r="I57" s="169" t="s">
        <v>74</v>
      </c>
      <c r="J57" s="8" t="str">
        <f>IF(ISNA(VLOOKUP(I57,Матер!$A$2:$C$85,2,0)),0,VLOOKUP(I57,Матер!$A$2:$C$85,2,0))</f>
        <v>упак/50м</v>
      </c>
      <c r="K57" s="8">
        <f>+D54*0.02</f>
        <v>0</v>
      </c>
      <c r="L57" s="8"/>
      <c r="M57" s="20"/>
      <c r="N57" s="20"/>
      <c r="O57" s="20"/>
      <c r="P57" s="20"/>
      <c r="Q57" s="20">
        <f t="shared" si="7"/>
        <v>0</v>
      </c>
      <c r="R57" s="20">
        <f t="shared" si="2"/>
        <v>0</v>
      </c>
      <c r="S57" s="20">
        <f t="shared" si="3"/>
        <v>0</v>
      </c>
      <c r="T57" s="20">
        <f t="shared" si="4"/>
        <v>0</v>
      </c>
      <c r="U57" s="20">
        <f t="shared" si="5"/>
        <v>0</v>
      </c>
      <c r="V57" s="20"/>
      <c r="W57">
        <f>IF(ISNA(VLOOKUP(I57,Матер!$A$2:$C$85,3,0)),0,VLOOKUP(I57,Матер!$A$2:$C$85,3,0))</f>
        <v>1500</v>
      </c>
      <c r="X57"/>
      <c r="Y57" s="20"/>
    </row>
    <row r="58" spans="1:27" s="11" customFormat="1" hidden="1" outlineLevel="1">
      <c r="A58" s="12"/>
      <c r="B58" s="35"/>
      <c r="C58" s="12"/>
      <c r="D58" s="12"/>
      <c r="E58" s="23"/>
      <c r="F58" s="23"/>
      <c r="G58" s="8"/>
      <c r="H58" s="8"/>
      <c r="I58" s="169" t="s">
        <v>72</v>
      </c>
      <c r="J58" s="8" t="str">
        <f>IF(ISNA(VLOOKUP(I58,Матер!$A$2:$C$85,2,0)),0,VLOOKUP(I58,Матер!$A$2:$C$85,2,0))</f>
        <v>упак/100шт</v>
      </c>
      <c r="K58" s="8">
        <f>D54*0.01*2</f>
        <v>0</v>
      </c>
      <c r="L58" s="8" t="s">
        <v>141</v>
      </c>
      <c r="M58" s="20"/>
      <c r="N58" s="20"/>
      <c r="O58" s="20"/>
      <c r="P58" s="20"/>
      <c r="Q58" s="20">
        <f t="shared" si="7"/>
        <v>0</v>
      </c>
      <c r="R58" s="20">
        <f t="shared" si="2"/>
        <v>0</v>
      </c>
      <c r="S58" s="20">
        <f t="shared" si="3"/>
        <v>0</v>
      </c>
      <c r="T58" s="20">
        <f t="shared" si="4"/>
        <v>0</v>
      </c>
      <c r="U58" s="20">
        <f t="shared" si="5"/>
        <v>0</v>
      </c>
      <c r="V58" s="20"/>
      <c r="W58">
        <f>IF(ISNA(VLOOKUP(I58,Матер!$A$2:$C$85,3,0)),0,VLOOKUP(I58,Матер!$A$2:$C$85,3,0))</f>
        <v>600</v>
      </c>
      <c r="X58"/>
      <c r="Y58" s="20"/>
      <c r="AA58" s="11">
        <f>+Z58*D58</f>
        <v>0</v>
      </c>
    </row>
    <row r="59" spans="1:27" s="11" customFormat="1" hidden="1" outlineLevel="1">
      <c r="A59" s="12"/>
      <c r="B59" s="35"/>
      <c r="C59" s="12"/>
      <c r="D59" s="12"/>
      <c r="E59" s="23"/>
      <c r="F59" s="23"/>
      <c r="G59" s="8"/>
      <c r="H59" s="8"/>
      <c r="I59" s="169" t="s">
        <v>70</v>
      </c>
      <c r="J59" s="8" t="str">
        <f>IF(ISNA(VLOOKUP(I59,Матер!$A$2:$C$85,2,0)),0,VLOOKUP(I59,Матер!$A$2:$C$85,2,0))</f>
        <v>шт</v>
      </c>
      <c r="K59" s="12">
        <f>+D54*4</f>
        <v>0</v>
      </c>
      <c r="L59" s="8"/>
      <c r="M59" s="20"/>
      <c r="N59" s="20"/>
      <c r="O59" s="20"/>
      <c r="P59" s="20"/>
      <c r="Q59" s="20">
        <f t="shared" si="7"/>
        <v>0</v>
      </c>
      <c r="R59" s="20">
        <f t="shared" si="2"/>
        <v>0</v>
      </c>
      <c r="S59" s="20">
        <f t="shared" si="3"/>
        <v>0</v>
      </c>
      <c r="T59" s="20">
        <f t="shared" si="4"/>
        <v>0</v>
      </c>
      <c r="U59" s="20">
        <f t="shared" si="5"/>
        <v>0</v>
      </c>
      <c r="V59" s="20"/>
      <c r="W59">
        <f>IF(ISNA(VLOOKUP(I59,Матер!$A$2:$C$85,3,0)),0,VLOOKUP(I59,Матер!$A$2:$C$85,3,0))</f>
        <v>3.5169999999999999</v>
      </c>
      <c r="X59"/>
      <c r="Y59" s="20"/>
      <c r="AA59" s="11">
        <f>+Z59*D59</f>
        <v>0</v>
      </c>
    </row>
    <row r="60" spans="1:27" s="11" customFormat="1" hidden="1" outlineLevel="1">
      <c r="A60" s="12"/>
      <c r="B60" s="35"/>
      <c r="C60" s="12"/>
      <c r="D60" s="12"/>
      <c r="E60" s="23"/>
      <c r="F60" s="23"/>
      <c r="G60" s="8"/>
      <c r="H60" s="8"/>
      <c r="I60" s="169" t="s">
        <v>66</v>
      </c>
      <c r="J60" s="8" t="str">
        <f>IF(ISNA(VLOOKUP(I60,Матер!$A$2:$C$85,2,0)),0,VLOOKUP(I60,Матер!$A$2:$C$85,2,0))</f>
        <v>кг</v>
      </c>
      <c r="K60" s="12">
        <f>+D54*0.3</f>
        <v>0</v>
      </c>
      <c r="L60" s="8"/>
      <c r="M60" s="20"/>
      <c r="N60" s="20"/>
      <c r="O60" s="20"/>
      <c r="P60" s="20"/>
      <c r="Q60" s="20">
        <f t="shared" si="7"/>
        <v>0</v>
      </c>
      <c r="R60" s="20">
        <f t="shared" si="2"/>
        <v>0</v>
      </c>
      <c r="S60" s="20">
        <f t="shared" si="3"/>
        <v>0</v>
      </c>
      <c r="T60" s="20">
        <f t="shared" si="4"/>
        <v>0</v>
      </c>
      <c r="U60" s="20">
        <f t="shared" si="5"/>
        <v>0</v>
      </c>
      <c r="V60" s="20"/>
      <c r="W60">
        <f>IF(ISNA(VLOOKUP(I60,Матер!$A$2:$C$85,3,0)),0,VLOOKUP(I60,Матер!$A$2:$C$85,3,0))</f>
        <v>86.470000000000013</v>
      </c>
      <c r="X60"/>
      <c r="Y60" s="20"/>
      <c r="AA60" s="11">
        <f>+Z60*D60</f>
        <v>0</v>
      </c>
    </row>
    <row r="61" spans="1:27" s="11" customFormat="1" ht="25.5" hidden="1" outlineLevel="1">
      <c r="A61" s="12"/>
      <c r="B61" s="35"/>
      <c r="C61" s="12"/>
      <c r="D61" s="12"/>
      <c r="E61" s="23"/>
      <c r="F61" s="23"/>
      <c r="G61" s="8"/>
      <c r="H61" s="8"/>
      <c r="I61" s="169" t="s">
        <v>92</v>
      </c>
      <c r="J61" s="8" t="str">
        <f>IF(ISNA(VLOOKUP(I61,Матер!$A$2:$C$85,2,0)),0,VLOOKUP(I61,Матер!$A$2:$C$85,2,0))</f>
        <v>кг</v>
      </c>
      <c r="K61" s="12">
        <f>+D54</f>
        <v>0</v>
      </c>
      <c r="L61" s="8"/>
      <c r="M61" s="20"/>
      <c r="N61" s="20"/>
      <c r="O61" s="20"/>
      <c r="P61" s="20"/>
      <c r="Q61" s="20">
        <f t="shared" si="7"/>
        <v>0</v>
      </c>
      <c r="R61" s="20">
        <f t="shared" si="2"/>
        <v>0</v>
      </c>
      <c r="S61" s="20">
        <f t="shared" si="3"/>
        <v>0</v>
      </c>
      <c r="T61" s="20">
        <f t="shared" si="4"/>
        <v>0</v>
      </c>
      <c r="U61" s="20">
        <f t="shared" si="5"/>
        <v>0</v>
      </c>
      <c r="V61" s="20"/>
      <c r="W61">
        <f>IF(ISNA(VLOOKUP(I61,Матер!$A$2:$C$85,3,0)),0,VLOOKUP(I61,Матер!$A$2:$C$85,3,0))</f>
        <v>80</v>
      </c>
      <c r="X61" t="e">
        <f>SUM(#REF!)</f>
        <v>#REF!</v>
      </c>
      <c r="Y61" s="20"/>
    </row>
    <row r="62" spans="1:27" s="11" customFormat="1" ht="25.5" hidden="1" outlineLevel="1">
      <c r="A62" s="12"/>
      <c r="B62" s="35" t="s">
        <v>97</v>
      </c>
      <c r="C62" s="12" t="s">
        <v>14</v>
      </c>
      <c r="D62" s="12">
        <f>+D54*0.02</f>
        <v>0</v>
      </c>
      <c r="E62" s="23"/>
      <c r="F62" s="23"/>
      <c r="G62" s="8"/>
      <c r="H62" s="8"/>
      <c r="I62" s="169" t="s">
        <v>91</v>
      </c>
      <c r="J62" s="8" t="str">
        <f>IF(ISNA(VLOOKUP(I62,Матер!$A$2:$C$85,2,0)),0,VLOOKUP(I62,Матер!$A$2:$C$85,2,0))</f>
        <v>шт</v>
      </c>
      <c r="K62" s="12">
        <f>+D54*4</f>
        <v>0</v>
      </c>
      <c r="L62" s="8"/>
      <c r="M62" s="20"/>
      <c r="N62" s="20"/>
      <c r="O62" s="20"/>
      <c r="P62" s="20"/>
      <c r="Q62" s="20">
        <f t="shared" si="7"/>
        <v>0</v>
      </c>
      <c r="R62" s="20">
        <f t="shared" si="2"/>
        <v>0</v>
      </c>
      <c r="S62" s="20">
        <f t="shared" si="3"/>
        <v>0</v>
      </c>
      <c r="T62" s="20">
        <f t="shared" si="4"/>
        <v>0</v>
      </c>
      <c r="U62" s="20">
        <f t="shared" si="5"/>
        <v>0</v>
      </c>
      <c r="V62" s="20"/>
      <c r="W62">
        <f>IF(ISNA(VLOOKUP(I62,Матер!$A$2:$C$85,3,0)),0,VLOOKUP(I62,Матер!$A$2:$C$85,3,0))</f>
        <v>98</v>
      </c>
      <c r="X62"/>
      <c r="Y62" s="20"/>
    </row>
    <row r="63" spans="1:27" s="11" customFormat="1" hidden="1" outlineLevel="1">
      <c r="A63" s="12"/>
      <c r="B63" s="35"/>
      <c r="C63" s="12"/>
      <c r="D63" s="12"/>
      <c r="E63" s="23"/>
      <c r="F63" s="23"/>
      <c r="G63" s="8"/>
      <c r="H63" s="8"/>
      <c r="I63" s="169" t="s">
        <v>86</v>
      </c>
      <c r="J63" s="8" t="str">
        <f>IF(ISNA(VLOOKUP(I63,Матер!$A$2:$C$85,2,0)),0,VLOOKUP(I63,Матер!$A$2:$C$85,2,0))</f>
        <v>шт</v>
      </c>
      <c r="K63" s="12">
        <f>+D54</f>
        <v>0</v>
      </c>
      <c r="L63" s="8"/>
      <c r="M63" s="20"/>
      <c r="N63" s="20"/>
      <c r="O63" s="20"/>
      <c r="P63" s="20"/>
      <c r="Q63" s="20">
        <f t="shared" si="7"/>
        <v>0</v>
      </c>
      <c r="R63" s="20">
        <f t="shared" si="2"/>
        <v>0</v>
      </c>
      <c r="S63" s="20">
        <f t="shared" si="3"/>
        <v>0</v>
      </c>
      <c r="T63" s="20">
        <f t="shared" si="4"/>
        <v>0</v>
      </c>
      <c r="U63" s="20">
        <f t="shared" si="5"/>
        <v>0</v>
      </c>
      <c r="V63" s="20"/>
      <c r="W63">
        <f>IF(ISNA(VLOOKUP(I63,Матер!$A$2:$C$85,3,0)),0,VLOOKUP(I63,Матер!$A$2:$C$85,3,0))</f>
        <v>100</v>
      </c>
      <c r="X63"/>
      <c r="Y63" s="20"/>
    </row>
    <row r="64" spans="1:27" s="11" customFormat="1" hidden="1" outlineLevel="1">
      <c r="A64" s="12"/>
      <c r="B64" s="35"/>
      <c r="C64" s="12"/>
      <c r="D64" s="12"/>
      <c r="E64" s="23"/>
      <c r="F64" s="23"/>
      <c r="G64" s="8"/>
      <c r="H64" s="8"/>
      <c r="I64" s="169" t="s">
        <v>38</v>
      </c>
      <c r="J64" s="8" t="str">
        <f>IF(ISNA(VLOOKUP(I64,Матер!$A$2:$C$85,2,0)),0,VLOOKUP(I64,Матер!$A$2:$C$85,2,0))</f>
        <v>шт</v>
      </c>
      <c r="K64" s="12">
        <f>+D54</f>
        <v>0</v>
      </c>
      <c r="L64" s="8"/>
      <c r="M64" s="20"/>
      <c r="N64" s="20"/>
      <c r="O64" s="20"/>
      <c r="P64" s="20"/>
      <c r="Q64" s="20">
        <f t="shared" si="7"/>
        <v>0</v>
      </c>
      <c r="R64" s="20">
        <f t="shared" si="2"/>
        <v>0</v>
      </c>
      <c r="S64" s="20">
        <f t="shared" si="3"/>
        <v>0</v>
      </c>
      <c r="T64" s="20">
        <f t="shared" si="4"/>
        <v>0</v>
      </c>
      <c r="U64" s="20">
        <f t="shared" si="5"/>
        <v>0</v>
      </c>
      <c r="V64" s="20"/>
      <c r="W64">
        <f>IF(ISNA(VLOOKUP(I64,Матер!$A$2:$C$85,3,0)),0,VLOOKUP(I64,Матер!$A$2:$C$85,3,0))</f>
        <v>66.81</v>
      </c>
      <c r="X64"/>
      <c r="Y64" s="20"/>
    </row>
    <row r="65" spans="1:28" s="11" customFormat="1" hidden="1" outlineLevel="1">
      <c r="A65" s="12"/>
      <c r="B65" s="35"/>
      <c r="C65" s="12"/>
      <c r="D65" s="12"/>
      <c r="E65" s="23"/>
      <c r="F65" s="23"/>
      <c r="G65" s="8"/>
      <c r="H65" s="8"/>
      <c r="I65" s="169" t="s">
        <v>74</v>
      </c>
      <c r="J65" s="8" t="str">
        <f>IF(ISNA(VLOOKUP(I65,Матер!$A$2:$C$85,2,0)),0,VLOOKUP(I65,Матер!$A$2:$C$85,2,0))</f>
        <v>упак/50м</v>
      </c>
      <c r="K65" s="8">
        <f>+D54*0.02</f>
        <v>0</v>
      </c>
      <c r="L65" s="8"/>
      <c r="M65" s="20"/>
      <c r="N65" s="20"/>
      <c r="O65" s="20"/>
      <c r="P65" s="20"/>
      <c r="Q65" s="20">
        <f t="shared" si="7"/>
        <v>0</v>
      </c>
      <c r="R65" s="20">
        <f t="shared" si="2"/>
        <v>0</v>
      </c>
      <c r="S65" s="20">
        <f t="shared" si="3"/>
        <v>0</v>
      </c>
      <c r="T65" s="20">
        <f t="shared" si="4"/>
        <v>0</v>
      </c>
      <c r="U65" s="20">
        <f t="shared" si="5"/>
        <v>0</v>
      </c>
      <c r="V65" s="20"/>
      <c r="W65">
        <f>IF(ISNA(VLOOKUP(I65,Матер!$A$2:$C$85,3,0)),0,VLOOKUP(I65,Матер!$A$2:$C$85,3,0))</f>
        <v>1500</v>
      </c>
      <c r="X65"/>
      <c r="Y65" s="20"/>
    </row>
    <row r="66" spans="1:28" s="11" customFormat="1" hidden="1" outlineLevel="1">
      <c r="A66" s="12"/>
      <c r="B66" s="35"/>
      <c r="C66" s="12"/>
      <c r="D66" s="12"/>
      <c r="E66" s="23"/>
      <c r="F66" s="23"/>
      <c r="G66" s="8"/>
      <c r="H66" s="8"/>
      <c r="I66" s="169" t="s">
        <v>72</v>
      </c>
      <c r="J66" s="8" t="str">
        <f>IF(ISNA(VLOOKUP(I66,Матер!$A$2:$C$85,2,0)),0,VLOOKUP(I66,Матер!$A$2:$C$85,2,0))</f>
        <v>упак/100шт</v>
      </c>
      <c r="K66" s="8">
        <f>D54*0.01*2</f>
        <v>0</v>
      </c>
      <c r="L66" s="8"/>
      <c r="M66" s="20"/>
      <c r="N66" s="20"/>
      <c r="O66" s="20"/>
      <c r="P66" s="20"/>
      <c r="Q66" s="20">
        <f t="shared" si="7"/>
        <v>0</v>
      </c>
      <c r="R66" s="20">
        <f t="shared" si="2"/>
        <v>0</v>
      </c>
      <c r="S66" s="20">
        <f t="shared" si="3"/>
        <v>0</v>
      </c>
      <c r="T66" s="20">
        <f t="shared" si="4"/>
        <v>0</v>
      </c>
      <c r="U66" s="20">
        <f t="shared" si="5"/>
        <v>0</v>
      </c>
      <c r="V66" s="20"/>
      <c r="W66">
        <f>IF(ISNA(VLOOKUP(I66,Матер!$A$2:$C$85,3,0)),0,VLOOKUP(I66,Матер!$A$2:$C$85,3,0))</f>
        <v>600</v>
      </c>
      <c r="X66"/>
      <c r="Y66" s="20"/>
    </row>
    <row r="67" spans="1:28" s="11" customFormat="1" hidden="1" outlineLevel="1">
      <c r="A67" s="12"/>
      <c r="B67" s="35"/>
      <c r="C67" s="12"/>
      <c r="D67" s="12"/>
      <c r="E67" s="23"/>
      <c r="F67" s="23"/>
      <c r="G67" s="8"/>
      <c r="H67" s="8"/>
      <c r="I67" s="169" t="s">
        <v>70</v>
      </c>
      <c r="J67" s="8" t="str">
        <f>IF(ISNA(VLOOKUP(I67,Матер!$A$2:$C$85,2,0)),0,VLOOKUP(I67,Матер!$A$2:$C$85,2,0))</f>
        <v>шт</v>
      </c>
      <c r="K67" s="12">
        <f>+D54*4</f>
        <v>0</v>
      </c>
      <c r="L67" s="8"/>
      <c r="M67" s="20"/>
      <c r="N67" s="20"/>
      <c r="O67" s="20"/>
      <c r="P67" s="20"/>
      <c r="Q67" s="20">
        <f t="shared" si="7"/>
        <v>0</v>
      </c>
      <c r="R67" s="20">
        <f t="shared" si="2"/>
        <v>0</v>
      </c>
      <c r="S67" s="20">
        <f t="shared" si="3"/>
        <v>0</v>
      </c>
      <c r="T67" s="20">
        <f t="shared" si="4"/>
        <v>0</v>
      </c>
      <c r="U67" s="20">
        <f t="shared" si="5"/>
        <v>0</v>
      </c>
      <c r="V67" s="20"/>
      <c r="W67">
        <f>IF(ISNA(VLOOKUP(I67,Матер!$A$2:$C$85,3,0)),0,VLOOKUP(I67,Матер!$A$2:$C$85,3,0))</f>
        <v>3.5169999999999999</v>
      </c>
      <c r="X67"/>
      <c r="Y67" s="20"/>
    </row>
    <row r="68" spans="1:28" s="11" customFormat="1" ht="25.5" hidden="1" outlineLevel="1">
      <c r="A68" s="12"/>
      <c r="B68" s="35"/>
      <c r="C68" s="12"/>
      <c r="D68" s="12"/>
      <c r="E68" s="23"/>
      <c r="F68" s="23"/>
      <c r="G68" s="8"/>
      <c r="H68" s="8"/>
      <c r="I68" s="169" t="s">
        <v>57</v>
      </c>
      <c r="J68" s="8" t="str">
        <f>IF(ISNA(VLOOKUP(I68,Матер!$A$2:$C$85,2,0)),0,VLOOKUP(I68,Матер!$A$2:$C$85,2,0))</f>
        <v>км</v>
      </c>
      <c r="K68" s="12">
        <f>+D62</f>
        <v>0</v>
      </c>
      <c r="L68" s="8"/>
      <c r="M68" s="20"/>
      <c r="N68" s="20"/>
      <c r="O68" s="20"/>
      <c r="P68" s="20"/>
      <c r="Q68" s="20">
        <f t="shared" si="7"/>
        <v>0</v>
      </c>
      <c r="R68" s="20">
        <f t="shared" si="2"/>
        <v>0</v>
      </c>
      <c r="S68" s="20">
        <f t="shared" si="3"/>
        <v>0</v>
      </c>
      <c r="T68" s="20">
        <f t="shared" si="4"/>
        <v>0</v>
      </c>
      <c r="U68" s="20">
        <f t="shared" si="5"/>
        <v>0</v>
      </c>
      <c r="V68" s="20"/>
      <c r="W68">
        <f>IF(ISNA(VLOOKUP(I68,Матер!$A$2:$C$85,3,0)),0,VLOOKUP(I68,Матер!$A$2:$C$85,3,0))</f>
        <v>68745</v>
      </c>
      <c r="X68"/>
      <c r="Y68" s="20"/>
    </row>
    <row r="69" spans="1:28" s="17" customFormat="1" ht="25.5" hidden="1" outlineLevel="1">
      <c r="A69" s="12">
        <v>12</v>
      </c>
      <c r="B69" s="35" t="s">
        <v>21</v>
      </c>
      <c r="C69" s="12" t="s">
        <v>15</v>
      </c>
      <c r="D69" s="16">
        <v>0</v>
      </c>
      <c r="E69" s="23"/>
      <c r="F69" s="23"/>
      <c r="G69" s="8"/>
      <c r="H69" s="8"/>
      <c r="I69" s="169" t="s">
        <v>56</v>
      </c>
      <c r="J69" s="8" t="str">
        <f>IF(ISNA(VLOOKUP(I69,Матер!$A$2:$C$85,2,0)),0,VLOOKUP(I69,Матер!$A$2:$C$85,2,0))</f>
        <v>км</v>
      </c>
      <c r="K69" s="10">
        <f>+D69*0.015</f>
        <v>0</v>
      </c>
      <c r="L69" s="8"/>
      <c r="M69" s="20"/>
      <c r="N69" s="20"/>
      <c r="O69" s="20"/>
      <c r="P69" s="20"/>
      <c r="Q69" s="20">
        <f t="shared" si="7"/>
        <v>0</v>
      </c>
      <c r="R69" s="20">
        <f t="shared" si="2"/>
        <v>0</v>
      </c>
      <c r="S69" s="20">
        <f t="shared" si="3"/>
        <v>0</v>
      </c>
      <c r="T69" s="20">
        <f t="shared" si="4"/>
        <v>0</v>
      </c>
      <c r="U69" s="20">
        <f t="shared" si="5"/>
        <v>0</v>
      </c>
      <c r="V69" s="20"/>
      <c r="W69">
        <f>IF(ISNA(VLOOKUP(I69,Матер!$A$2:$C$85,3,0)),0,VLOOKUP(I69,Матер!$A$2:$C$85,3,0))</f>
        <v>34681.949999999997</v>
      </c>
      <c r="X69"/>
      <c r="Y69" s="71" t="s">
        <v>81</v>
      </c>
      <c r="Z69" s="72">
        <v>203.32333066666669</v>
      </c>
      <c r="AA69" s="11">
        <f>+Z69*D69/1000</f>
        <v>0</v>
      </c>
    </row>
    <row r="70" spans="1:28" s="17" customFormat="1" hidden="1" outlineLevel="1">
      <c r="A70" s="12"/>
      <c r="B70" s="35"/>
      <c r="C70" s="12"/>
      <c r="D70" s="16"/>
      <c r="E70" s="23"/>
      <c r="F70" s="23"/>
      <c r="G70" s="8"/>
      <c r="H70" s="8"/>
      <c r="I70" s="169" t="s">
        <v>91</v>
      </c>
      <c r="J70" s="8" t="str">
        <f>IF(ISNA(VLOOKUP(I70,Матер!$A$2:$C$85,2,0)),0,VLOOKUP(I70,Матер!$A$2:$C$85,2,0))</f>
        <v>шт</v>
      </c>
      <c r="K70" s="10">
        <f>+D69*2</f>
        <v>0</v>
      </c>
      <c r="L70" s="8"/>
      <c r="M70" s="20"/>
      <c r="N70" s="20"/>
      <c r="O70" s="20"/>
      <c r="P70" s="20"/>
      <c r="Q70" s="20">
        <f t="shared" si="7"/>
        <v>0</v>
      </c>
      <c r="R70" s="20">
        <f t="shared" si="2"/>
        <v>0</v>
      </c>
      <c r="S70" s="20">
        <f t="shared" si="3"/>
        <v>0</v>
      </c>
      <c r="T70" s="20">
        <f t="shared" si="4"/>
        <v>0</v>
      </c>
      <c r="U70" s="20">
        <f t="shared" si="5"/>
        <v>0</v>
      </c>
      <c r="V70" s="20"/>
      <c r="W70">
        <f>IF(ISNA(VLOOKUP(I70,Матер!$A$2:$C$85,3,0)),0,VLOOKUP(I70,Матер!$A$2:$C$85,3,0))</f>
        <v>98</v>
      </c>
      <c r="X70"/>
      <c r="Y70" s="71"/>
      <c r="Z70" s="72"/>
      <c r="AA70" s="11"/>
    </row>
    <row r="71" spans="1:28" s="17" customFormat="1" hidden="1" outlineLevel="1">
      <c r="A71" s="12"/>
      <c r="B71" s="35"/>
      <c r="C71" s="12"/>
      <c r="D71" s="16"/>
      <c r="E71" s="23"/>
      <c r="F71" s="23"/>
      <c r="G71" s="8"/>
      <c r="H71" s="8"/>
      <c r="I71" s="169" t="s">
        <v>87</v>
      </c>
      <c r="J71" s="8" t="str">
        <f>IF(ISNA(VLOOKUP(I71,Матер!$A$2:$C$85,2,0)),0,VLOOKUP(I71,Матер!$A$2:$C$85,2,0))</f>
        <v>шт</v>
      </c>
      <c r="K71" s="10">
        <f>+D69</f>
        <v>0</v>
      </c>
      <c r="L71" s="8"/>
      <c r="M71" s="20"/>
      <c r="N71" s="20"/>
      <c r="O71" s="20"/>
      <c r="P71" s="20"/>
      <c r="Q71" s="20">
        <f t="shared" si="7"/>
        <v>0</v>
      </c>
      <c r="R71" s="20">
        <f t="shared" si="2"/>
        <v>0</v>
      </c>
      <c r="S71" s="20">
        <f t="shared" si="3"/>
        <v>0</v>
      </c>
      <c r="T71" s="20">
        <f t="shared" si="4"/>
        <v>0</v>
      </c>
      <c r="U71" s="20">
        <f t="shared" si="5"/>
        <v>0</v>
      </c>
      <c r="V71" s="20"/>
      <c r="W71">
        <f>IF(ISNA(VLOOKUP(I71,Матер!$A$2:$C$85,3,0)),0,VLOOKUP(I71,Матер!$A$2:$C$85,3,0))</f>
        <v>20</v>
      </c>
      <c r="X71"/>
      <c r="Y71" s="71"/>
      <c r="Z71" s="72"/>
      <c r="AA71" s="11"/>
    </row>
    <row r="72" spans="1:28" s="17" customFormat="1" hidden="1" outlineLevel="1">
      <c r="A72" s="12"/>
      <c r="B72" s="35"/>
      <c r="C72" s="12"/>
      <c r="D72" s="16"/>
      <c r="E72" s="23"/>
      <c r="F72" s="23"/>
      <c r="G72" s="8"/>
      <c r="H72" s="8"/>
      <c r="I72" s="169" t="s">
        <v>74</v>
      </c>
      <c r="J72" s="8" t="str">
        <f>IF(ISNA(VLOOKUP(I72,Матер!$A$2:$C$85,2,0)),0,VLOOKUP(I72,Матер!$A$2:$C$85,2,0))</f>
        <v>упак/50м</v>
      </c>
      <c r="K72" s="8">
        <f>+D69*0.02</f>
        <v>0</v>
      </c>
      <c r="L72" s="8"/>
      <c r="M72" s="20"/>
      <c r="N72" s="20"/>
      <c r="O72" s="20"/>
      <c r="P72" s="20"/>
      <c r="Q72" s="20">
        <f t="shared" si="7"/>
        <v>0</v>
      </c>
      <c r="R72" s="20">
        <f t="shared" si="2"/>
        <v>0</v>
      </c>
      <c r="S72" s="20">
        <f t="shared" si="3"/>
        <v>0</v>
      </c>
      <c r="T72" s="20">
        <f t="shared" si="4"/>
        <v>0</v>
      </c>
      <c r="U72" s="20">
        <f t="shared" si="5"/>
        <v>0</v>
      </c>
      <c r="V72" s="20"/>
      <c r="W72">
        <f>IF(ISNA(VLOOKUP(I72,Матер!$A$2:$C$85,3,0)),0,VLOOKUP(I72,Матер!$A$2:$C$85,3,0))</f>
        <v>1500</v>
      </c>
      <c r="X72"/>
      <c r="Y72" s="20"/>
      <c r="AA72" s="11">
        <f>+Z72*D72</f>
        <v>0</v>
      </c>
    </row>
    <row r="73" spans="1:28" s="17" customFormat="1" hidden="1" outlineLevel="1">
      <c r="A73" s="12"/>
      <c r="B73" s="35"/>
      <c r="C73" s="12"/>
      <c r="D73" s="16"/>
      <c r="E73" s="23"/>
      <c r="F73" s="23"/>
      <c r="G73" s="8"/>
      <c r="H73" s="8"/>
      <c r="I73" s="169" t="s">
        <v>72</v>
      </c>
      <c r="J73" s="8" t="str">
        <f>IF(ISNA(VLOOKUP(I73,Матер!$A$2:$C$85,2,0)),0,VLOOKUP(I73,Матер!$A$2:$C$85,2,0))</f>
        <v>упак/100шт</v>
      </c>
      <c r="K73" s="12">
        <f>+D69*0.01</f>
        <v>0</v>
      </c>
      <c r="L73" s="8"/>
      <c r="M73" s="20"/>
      <c r="N73" s="20"/>
      <c r="O73" s="20"/>
      <c r="P73" s="20"/>
      <c r="Q73" s="20">
        <f t="shared" si="7"/>
        <v>0</v>
      </c>
      <c r="R73" s="20">
        <f t="shared" si="2"/>
        <v>0</v>
      </c>
      <c r="S73" s="20">
        <f t="shared" si="3"/>
        <v>0</v>
      </c>
      <c r="T73" s="20">
        <f t="shared" si="4"/>
        <v>0</v>
      </c>
      <c r="U73" s="20">
        <f t="shared" si="5"/>
        <v>0</v>
      </c>
      <c r="V73" s="20"/>
      <c r="W73">
        <f>IF(ISNA(VLOOKUP(I73,Матер!$A$2:$C$85,3,0)),0,VLOOKUP(I73,Матер!$A$2:$C$85,3,0))</f>
        <v>600</v>
      </c>
      <c r="X73"/>
      <c r="Y73" s="20"/>
      <c r="AA73" s="11">
        <f>+Z73*D73</f>
        <v>0</v>
      </c>
    </row>
    <row r="74" spans="1:28" s="17" customFormat="1" hidden="1" outlineLevel="1">
      <c r="A74" s="12"/>
      <c r="B74" s="35"/>
      <c r="C74" s="12"/>
      <c r="D74" s="16"/>
      <c r="E74" s="23"/>
      <c r="F74" s="23"/>
      <c r="G74" s="8"/>
      <c r="H74" s="8"/>
      <c r="I74" s="169" t="s">
        <v>38</v>
      </c>
      <c r="J74" s="8" t="str">
        <f>IF(ISNA(VLOOKUP(I74,Матер!$A$2:$C$85,2,0)),0,VLOOKUP(I74,Матер!$A$2:$C$85,2,0))</f>
        <v>шт</v>
      </c>
      <c r="K74" s="10">
        <f>+D69*2</f>
        <v>0</v>
      </c>
      <c r="L74" s="8"/>
      <c r="M74" s="20"/>
      <c r="N74" s="20"/>
      <c r="O74" s="20"/>
      <c r="P74" s="20"/>
      <c r="Q74" s="20">
        <f t="shared" si="7"/>
        <v>0</v>
      </c>
      <c r="R74" s="20">
        <f t="shared" si="2"/>
        <v>0</v>
      </c>
      <c r="S74" s="20">
        <f t="shared" si="3"/>
        <v>0</v>
      </c>
      <c r="T74" s="20">
        <f t="shared" si="4"/>
        <v>0</v>
      </c>
      <c r="U74" s="20">
        <f t="shared" si="5"/>
        <v>0</v>
      </c>
      <c r="V74" s="20"/>
      <c r="W74">
        <f>IF(ISNA(VLOOKUP(I74,Матер!$A$2:$C$85,3,0)),0,VLOOKUP(I74,Матер!$A$2:$C$85,3,0))</f>
        <v>66.81</v>
      </c>
      <c r="X74"/>
      <c r="AA74" s="11">
        <f>+Z74*D74</f>
        <v>0</v>
      </c>
    </row>
    <row r="75" spans="1:28" s="17" customFormat="1" hidden="1" outlineLevel="1">
      <c r="A75" s="12"/>
      <c r="B75" s="35"/>
      <c r="C75" s="12"/>
      <c r="D75" s="16"/>
      <c r="E75" s="23"/>
      <c r="F75" s="23"/>
      <c r="G75" s="8"/>
      <c r="H75" s="8"/>
      <c r="I75" s="169" t="s">
        <v>70</v>
      </c>
      <c r="J75" s="8" t="str">
        <f>IF(ISNA(VLOOKUP(I75,Матер!$A$2:$C$85,2,0)),0,VLOOKUP(I75,Матер!$A$2:$C$85,2,0))</f>
        <v>шт</v>
      </c>
      <c r="K75" s="10">
        <f>+D69*4</f>
        <v>0</v>
      </c>
      <c r="L75" s="8"/>
      <c r="M75" s="20"/>
      <c r="N75" s="20"/>
      <c r="O75" s="20"/>
      <c r="P75" s="20"/>
      <c r="Q75" s="20">
        <f t="shared" si="7"/>
        <v>0</v>
      </c>
      <c r="R75" s="20">
        <f t="shared" si="2"/>
        <v>0</v>
      </c>
      <c r="S75" s="20">
        <f t="shared" si="3"/>
        <v>0</v>
      </c>
      <c r="T75" s="20">
        <f t="shared" si="4"/>
        <v>0</v>
      </c>
      <c r="U75" s="20">
        <f t="shared" si="5"/>
        <v>0</v>
      </c>
      <c r="V75" s="20"/>
      <c r="W75">
        <f>IF(ISNA(VLOOKUP(I75,Матер!$A$2:$C$85,3,0)),0,VLOOKUP(I75,Матер!$A$2:$C$85,3,0))</f>
        <v>3.5169999999999999</v>
      </c>
      <c r="X75"/>
      <c r="AA75" s="11"/>
    </row>
    <row r="76" spans="1:28" s="17" customFormat="1" ht="38.25" hidden="1" outlineLevel="1">
      <c r="A76" s="12">
        <v>13</v>
      </c>
      <c r="B76" s="35" t="s">
        <v>22</v>
      </c>
      <c r="C76" s="12" t="s">
        <v>15</v>
      </c>
      <c r="D76" s="8">
        <f>+D69</f>
        <v>0</v>
      </c>
      <c r="E76" s="23"/>
      <c r="F76" s="23"/>
      <c r="G76" s="8"/>
      <c r="H76" s="8"/>
      <c r="I76" s="169" t="s">
        <v>69</v>
      </c>
      <c r="J76" s="8" t="str">
        <f>IF(ISNA(VLOOKUP(I76,Матер!$A$2:$C$85,2,0)),0,VLOOKUP(I76,Матер!$A$2:$C$85,2,0))</f>
        <v>шт</v>
      </c>
      <c r="K76" s="10">
        <f>+D76</f>
        <v>0</v>
      </c>
      <c r="L76" s="165" t="s">
        <v>31</v>
      </c>
      <c r="M76" s="20"/>
      <c r="N76" s="20"/>
      <c r="O76" s="20"/>
      <c r="P76" s="20"/>
      <c r="Q76" s="20">
        <f t="shared" si="7"/>
        <v>0</v>
      </c>
      <c r="R76" s="20">
        <f t="shared" si="2"/>
        <v>0</v>
      </c>
      <c r="S76" s="20">
        <f t="shared" si="3"/>
        <v>0</v>
      </c>
      <c r="T76" s="20">
        <f t="shared" si="4"/>
        <v>0</v>
      </c>
      <c r="U76" s="20">
        <f t="shared" si="5"/>
        <v>0</v>
      </c>
      <c r="V76" s="20"/>
      <c r="W76">
        <f>IF(ISNA(VLOOKUP(I76,Матер!$A$2:$C$85,3,0)),0,VLOOKUP(I76,Матер!$A$2:$C$85,3,0))</f>
        <v>0</v>
      </c>
      <c r="X76"/>
      <c r="Y76" s="71" t="s">
        <v>83</v>
      </c>
      <c r="Z76" s="32">
        <v>101.25</v>
      </c>
      <c r="AA76" s="11">
        <f>+Z76*D76/1000</f>
        <v>0</v>
      </c>
      <c r="AB76" s="17">
        <f>SUM(AA69:AA77)</f>
        <v>0</v>
      </c>
    </row>
    <row r="77" spans="1:28" s="17" customFormat="1" hidden="1" outlineLevel="1">
      <c r="A77" s="12"/>
      <c r="B77" s="35"/>
      <c r="C77" s="12"/>
      <c r="D77" s="8"/>
      <c r="E77" s="23"/>
      <c r="F77" s="23"/>
      <c r="G77" s="8"/>
      <c r="H77" s="8"/>
      <c r="I77" s="169" t="s">
        <v>91</v>
      </c>
      <c r="J77" s="8" t="str">
        <f>IF(ISNA(VLOOKUP(I77,Матер!$A$2:$C$85,2,0)),0,VLOOKUP(I77,Матер!$A$2:$C$85,2,0))</f>
        <v>шт</v>
      </c>
      <c r="K77" s="10">
        <f>+D76*2</f>
        <v>0</v>
      </c>
      <c r="L77" s="8"/>
      <c r="M77" s="20"/>
      <c r="N77" s="20"/>
      <c r="O77" s="20"/>
      <c r="P77" s="20"/>
      <c r="Q77" s="20">
        <f t="shared" si="7"/>
        <v>0</v>
      </c>
      <c r="R77" s="20">
        <f t="shared" si="2"/>
        <v>0</v>
      </c>
      <c r="S77" s="20">
        <f t="shared" si="3"/>
        <v>0</v>
      </c>
      <c r="T77" s="20">
        <f t="shared" si="4"/>
        <v>0</v>
      </c>
      <c r="U77" s="20">
        <f t="shared" si="5"/>
        <v>0</v>
      </c>
      <c r="V77" s="20"/>
      <c r="W77">
        <f>IF(ISNA(VLOOKUP(I77,Матер!$A$2:$C$85,3,0)),0,VLOOKUP(I77,Матер!$A$2:$C$85,3,0))</f>
        <v>98</v>
      </c>
      <c r="X77"/>
      <c r="AA77" s="11">
        <f>+Z77*D77</f>
        <v>0</v>
      </c>
    </row>
    <row r="78" spans="1:28" s="17" customFormat="1" hidden="1" outlineLevel="1">
      <c r="A78" s="12"/>
      <c r="B78" s="35"/>
      <c r="C78" s="12"/>
      <c r="D78" s="8"/>
      <c r="E78" s="23"/>
      <c r="F78" s="23"/>
      <c r="G78" s="8"/>
      <c r="H78" s="8"/>
      <c r="I78" s="169" t="s">
        <v>70</v>
      </c>
      <c r="J78" s="8" t="str">
        <f>IF(ISNA(VLOOKUP(I78,Матер!$A$2:$C$85,2,0)),0,VLOOKUP(I78,Матер!$A$2:$C$85,2,0))</f>
        <v>шт</v>
      </c>
      <c r="K78" s="10">
        <f>+D76*2</f>
        <v>0</v>
      </c>
      <c r="L78" s="8"/>
      <c r="M78" s="20"/>
      <c r="N78" s="20"/>
      <c r="O78" s="20"/>
      <c r="P78" s="20"/>
      <c r="Q78" s="20">
        <f t="shared" si="7"/>
        <v>0</v>
      </c>
      <c r="R78" s="20">
        <f t="shared" si="2"/>
        <v>0</v>
      </c>
      <c r="S78" s="20">
        <f t="shared" si="3"/>
        <v>0</v>
      </c>
      <c r="T78" s="20">
        <f t="shared" si="4"/>
        <v>0</v>
      </c>
      <c r="U78" s="20">
        <f t="shared" si="5"/>
        <v>0</v>
      </c>
      <c r="V78" s="20"/>
      <c r="W78">
        <f>IF(ISNA(VLOOKUP(I78,Матер!$A$2:$C$85,3,0)),0,VLOOKUP(I78,Матер!$A$2:$C$85,3,0))</f>
        <v>3.5169999999999999</v>
      </c>
      <c r="X78" t="e">
        <f>SUM(#REF!)</f>
        <v>#REF!</v>
      </c>
      <c r="Y78" s="20"/>
      <c r="AA78" s="11">
        <f>+Z78*D78</f>
        <v>0</v>
      </c>
    </row>
    <row r="79" spans="1:28" s="17" customFormat="1" ht="25.5" collapsed="1">
      <c r="A79" s="12">
        <v>11</v>
      </c>
      <c r="B79" s="35" t="s">
        <v>202</v>
      </c>
      <c r="C79" s="12" t="s">
        <v>15</v>
      </c>
      <c r="D79" s="16">
        <f>D23</f>
        <v>12</v>
      </c>
      <c r="E79" s="23"/>
      <c r="F79" s="23"/>
      <c r="G79" s="8"/>
      <c r="H79" s="8"/>
      <c r="I79" s="169" t="s">
        <v>56</v>
      </c>
      <c r="J79" s="8" t="s">
        <v>170</v>
      </c>
      <c r="K79" s="10">
        <f>D79*15</f>
        <v>180</v>
      </c>
      <c r="L79" s="8" t="s">
        <v>142</v>
      </c>
      <c r="M79" s="20"/>
      <c r="N79" s="20">
        <v>1</v>
      </c>
      <c r="O79" s="132">
        <v>0.13700000000000001</v>
      </c>
      <c r="P79" s="20"/>
      <c r="Q79" s="77">
        <f>O79*K79</f>
        <v>24.660000000000004</v>
      </c>
      <c r="R79" s="77">
        <f t="shared" si="2"/>
        <v>24.660000000000004</v>
      </c>
      <c r="S79" s="20">
        <f t="shared" si="3"/>
        <v>0</v>
      </c>
      <c r="T79" s="20">
        <f t="shared" si="4"/>
        <v>0</v>
      </c>
      <c r="U79" s="20">
        <f t="shared" si="5"/>
        <v>0</v>
      </c>
      <c r="V79" s="150" t="s">
        <v>186</v>
      </c>
      <c r="W79">
        <f>IF(ISNA(VLOOKUP(I79,Матер!$A$2:$C$85,3,0)),0,VLOOKUP(I79,Матер!$A$2:$C$85,3,0))</f>
        <v>34681.949999999997</v>
      </c>
      <c r="X79"/>
      <c r="Y79" s="71" t="s">
        <v>80</v>
      </c>
      <c r="Z79" s="17">
        <v>261.55</v>
      </c>
      <c r="AA79" s="11">
        <f>+Z79*D79/1000</f>
        <v>3.1386000000000003</v>
      </c>
    </row>
    <row r="80" spans="1:28" s="17" customFormat="1">
      <c r="A80" s="12"/>
      <c r="B80" s="35"/>
      <c r="C80" s="12"/>
      <c r="D80" s="16"/>
      <c r="E80" s="23"/>
      <c r="F80" s="23"/>
      <c r="G80" s="8"/>
      <c r="H80" s="8"/>
      <c r="I80" s="169" t="s">
        <v>91</v>
      </c>
      <c r="J80" s="8" t="str">
        <f>IF(ISNA(VLOOKUP(I80,Матер!$A$2:$C$85,2,0)),0,VLOOKUP(I80,Матер!$A$2:$C$85,2,0))</f>
        <v>шт</v>
      </c>
      <c r="K80" s="10">
        <f>+D79*4</f>
        <v>48</v>
      </c>
      <c r="L80" s="8" t="s">
        <v>142</v>
      </c>
      <c r="M80" s="20"/>
      <c r="N80" s="20">
        <v>1</v>
      </c>
      <c r="O80" s="20">
        <v>0.125</v>
      </c>
      <c r="P80" s="20"/>
      <c r="Q80" s="20">
        <f t="shared" ref="Q80:Q103" si="8">O80*K80</f>
        <v>6</v>
      </c>
      <c r="R80" s="20">
        <f t="shared" si="2"/>
        <v>6</v>
      </c>
      <c r="S80" s="20">
        <f t="shared" si="3"/>
        <v>0</v>
      </c>
      <c r="T80" s="20">
        <f t="shared" si="4"/>
        <v>0</v>
      </c>
      <c r="U80" s="20">
        <f t="shared" si="5"/>
        <v>0</v>
      </c>
      <c r="V80" s="20"/>
      <c r="W80">
        <f>IF(ISNA(VLOOKUP(I80,Матер!$A$2:$C$85,3,0)),0,VLOOKUP(I80,Матер!$A$2:$C$85,3,0))</f>
        <v>98</v>
      </c>
      <c r="X80"/>
      <c r="Y80" s="71"/>
      <c r="AA80" s="11"/>
    </row>
    <row r="81" spans="1:28" s="17" customFormat="1">
      <c r="A81" s="12"/>
      <c r="B81" s="35"/>
      <c r="C81" s="12"/>
      <c r="D81" s="16"/>
      <c r="E81" s="23"/>
      <c r="F81" s="23"/>
      <c r="G81" s="8"/>
      <c r="H81" s="8"/>
      <c r="I81" s="169" t="s">
        <v>87</v>
      </c>
      <c r="J81" s="8" t="str">
        <f>IF(ISNA(VLOOKUP(I81,Матер!$A$2:$C$85,2,0)),0,VLOOKUP(I81,Матер!$A$2:$C$85,2,0))</f>
        <v>шт</v>
      </c>
      <c r="K81" s="10">
        <f>+D79</f>
        <v>12</v>
      </c>
      <c r="L81" s="8" t="s">
        <v>142</v>
      </c>
      <c r="M81" s="20"/>
      <c r="N81" s="20">
        <v>1</v>
      </c>
      <c r="O81" s="20">
        <v>0.1</v>
      </c>
      <c r="P81" s="20"/>
      <c r="Q81" s="20">
        <f t="shared" si="8"/>
        <v>1.2000000000000002</v>
      </c>
      <c r="R81" s="20">
        <f t="shared" si="2"/>
        <v>1.2000000000000002</v>
      </c>
      <c r="S81" s="20">
        <f t="shared" si="3"/>
        <v>0</v>
      </c>
      <c r="T81" s="20">
        <f t="shared" si="4"/>
        <v>0</v>
      </c>
      <c r="U81" s="20">
        <f t="shared" si="5"/>
        <v>0</v>
      </c>
      <c r="V81" s="20"/>
      <c r="W81">
        <f>IF(ISNA(VLOOKUP(I81,Матер!$A$2:$C$85,3,0)),0,VLOOKUP(I81,Матер!$A$2:$C$85,3,0))</f>
        <v>20</v>
      </c>
      <c r="X81"/>
      <c r="Y81" s="71"/>
      <c r="AA81" s="11"/>
    </row>
    <row r="82" spans="1:28" s="17" customFormat="1">
      <c r="A82" s="12"/>
      <c r="B82" s="35"/>
      <c r="C82" s="12"/>
      <c r="D82" s="16"/>
      <c r="E82" s="23"/>
      <c r="F82" s="23"/>
      <c r="G82" s="8"/>
      <c r="H82" s="8"/>
      <c r="I82" s="169" t="s">
        <v>74</v>
      </c>
      <c r="J82" s="8" t="str">
        <f>IF(ISNA(VLOOKUP(I82,Матер!$A$2:$C$85,2,0)),0,VLOOKUP(I82,Матер!$A$2:$C$85,2,0))</f>
        <v>упак/50м</v>
      </c>
      <c r="K82" s="8">
        <f>(D79*2/50*100)/100</f>
        <v>0.48</v>
      </c>
      <c r="L82" s="8" t="s">
        <v>142</v>
      </c>
      <c r="M82" s="20">
        <f>26/50*100</f>
        <v>52</v>
      </c>
      <c r="N82" s="20">
        <v>1</v>
      </c>
      <c r="O82" s="20">
        <v>3.9</v>
      </c>
      <c r="P82" s="20"/>
      <c r="Q82" s="20">
        <f t="shared" si="8"/>
        <v>1.8719999999999999</v>
      </c>
      <c r="R82" s="20">
        <f t="shared" si="2"/>
        <v>1.8719999999999999</v>
      </c>
      <c r="S82" s="20">
        <f t="shared" si="3"/>
        <v>0</v>
      </c>
      <c r="T82" s="20">
        <f t="shared" si="4"/>
        <v>0</v>
      </c>
      <c r="U82" s="20">
        <f t="shared" si="5"/>
        <v>0</v>
      </c>
      <c r="V82" s="20"/>
      <c r="W82">
        <f>IF(ISNA(VLOOKUP(I82,Матер!$A$2:$C$85,3,0)),0,VLOOKUP(I82,Матер!$A$2:$C$85,3,0))</f>
        <v>1500</v>
      </c>
      <c r="X82"/>
      <c r="Y82" s="20"/>
      <c r="AA82" s="11">
        <f>+Z82*D82</f>
        <v>0</v>
      </c>
    </row>
    <row r="83" spans="1:28" s="17" customFormat="1" ht="25.5" customHeight="1">
      <c r="A83" s="12"/>
      <c r="B83" s="35"/>
      <c r="C83" s="12"/>
      <c r="D83" s="16"/>
      <c r="E83" s="23"/>
      <c r="F83" s="23"/>
      <c r="G83" s="8"/>
      <c r="H83" s="8"/>
      <c r="I83" s="169" t="s">
        <v>72</v>
      </c>
      <c r="J83" s="8" t="str">
        <f>IF(ISNA(VLOOKUP(I83,Матер!$A$2:$C$85,2,0)),0,VLOOKUP(I83,Матер!$A$2:$C$85,2,0))</f>
        <v>упак/100шт</v>
      </c>
      <c r="K83" s="8">
        <f>+D79*0.02</f>
        <v>0.24</v>
      </c>
      <c r="L83" s="8" t="s">
        <v>142</v>
      </c>
      <c r="M83" s="20"/>
      <c r="N83" s="20">
        <v>1</v>
      </c>
      <c r="O83" s="20">
        <v>1</v>
      </c>
      <c r="P83" s="20"/>
      <c r="Q83" s="20">
        <f t="shared" si="8"/>
        <v>0.24</v>
      </c>
      <c r="R83" s="20">
        <f t="shared" si="2"/>
        <v>0.24</v>
      </c>
      <c r="S83" s="20">
        <f t="shared" si="3"/>
        <v>0</v>
      </c>
      <c r="T83" s="20">
        <f t="shared" si="4"/>
        <v>0</v>
      </c>
      <c r="U83" s="20">
        <f t="shared" si="5"/>
        <v>0</v>
      </c>
      <c r="V83" s="20"/>
      <c r="W83">
        <f>IF(ISNA(VLOOKUP(I83,Матер!$A$2:$C$85,3,0)),0,VLOOKUP(I83,Матер!$A$2:$C$85,3,0))</f>
        <v>600</v>
      </c>
      <c r="X83"/>
      <c r="Y83" s="20"/>
      <c r="AA83" s="11">
        <f>+Z83*D83</f>
        <v>0</v>
      </c>
    </row>
    <row r="84" spans="1:28" s="17" customFormat="1">
      <c r="A84" s="12"/>
      <c r="B84" s="35"/>
      <c r="C84" s="12"/>
      <c r="D84" s="16"/>
      <c r="E84" s="23"/>
      <c r="F84" s="23"/>
      <c r="G84" s="8"/>
      <c r="H84" s="8"/>
      <c r="I84" s="169" t="s">
        <v>38</v>
      </c>
      <c r="J84" s="8" t="str">
        <f>IF(ISNA(VLOOKUP(I84,Матер!$A$2:$C$85,2,0)),0,VLOOKUP(I84,Матер!$A$2:$C$85,2,0))</f>
        <v>шт</v>
      </c>
      <c r="K84" s="10">
        <f>+D79*2</f>
        <v>24</v>
      </c>
      <c r="L84" s="8" t="s">
        <v>142</v>
      </c>
      <c r="M84" s="20"/>
      <c r="N84" s="20">
        <v>1</v>
      </c>
      <c r="O84" s="20">
        <v>0.46</v>
      </c>
      <c r="P84" s="20"/>
      <c r="Q84" s="20">
        <f t="shared" si="8"/>
        <v>11.040000000000001</v>
      </c>
      <c r="R84" s="20">
        <f t="shared" si="2"/>
        <v>11.040000000000001</v>
      </c>
      <c r="S84" s="20">
        <f t="shared" si="3"/>
        <v>0</v>
      </c>
      <c r="T84" s="20">
        <f t="shared" si="4"/>
        <v>0</v>
      </c>
      <c r="U84" s="20">
        <f t="shared" si="5"/>
        <v>0</v>
      </c>
      <c r="V84" s="20"/>
      <c r="W84">
        <f>IF(ISNA(VLOOKUP(I84,Матер!$A$2:$C$85,3,0)),0,VLOOKUP(I84,Матер!$A$2:$C$85,3,0))</f>
        <v>66.81</v>
      </c>
      <c r="X84"/>
      <c r="Y84" s="20"/>
      <c r="AA84" s="11">
        <f>+Z84*D84</f>
        <v>0</v>
      </c>
    </row>
    <row r="85" spans="1:28" s="17" customFormat="1" ht="12.75" customHeight="1">
      <c r="A85" s="12"/>
      <c r="B85" s="35"/>
      <c r="C85" s="12"/>
      <c r="D85" s="16"/>
      <c r="E85" s="23"/>
      <c r="F85" s="23"/>
      <c r="G85" s="8"/>
      <c r="H85" s="8"/>
      <c r="I85" s="169" t="s">
        <v>70</v>
      </c>
      <c r="J85" s="8" t="str">
        <f>IF(ISNA(VLOOKUP(I85,Матер!$A$2:$C$85,2,0)),0,VLOOKUP(I85,Матер!$A$2:$C$85,2,0))</f>
        <v>шт</v>
      </c>
      <c r="K85" s="10">
        <f>+D79*6</f>
        <v>72</v>
      </c>
      <c r="L85" s="8" t="s">
        <v>142</v>
      </c>
      <c r="M85" s="20"/>
      <c r="N85" s="20">
        <v>1</v>
      </c>
      <c r="O85" s="20">
        <v>1.4999999999999999E-2</v>
      </c>
      <c r="P85" s="20"/>
      <c r="Q85" s="20">
        <f t="shared" si="8"/>
        <v>1.08</v>
      </c>
      <c r="R85" s="20">
        <f t="shared" si="2"/>
        <v>1.08</v>
      </c>
      <c r="S85" s="20">
        <f t="shared" si="3"/>
        <v>0</v>
      </c>
      <c r="T85" s="20">
        <f t="shared" si="4"/>
        <v>0</v>
      </c>
      <c r="U85" s="20">
        <f t="shared" si="5"/>
        <v>0</v>
      </c>
      <c r="V85" s="20"/>
      <c r="W85">
        <f>IF(ISNA(VLOOKUP(I85,Матер!$A$2:$C$85,3,0)),0,VLOOKUP(I85,Матер!$A$2:$C$85,3,0))</f>
        <v>3.5169999999999999</v>
      </c>
      <c r="X85"/>
      <c r="Y85" s="20"/>
      <c r="AA85" s="11"/>
    </row>
    <row r="86" spans="1:28" s="17" customFormat="1">
      <c r="A86" s="12">
        <v>12</v>
      </c>
      <c r="B86" s="35" t="s">
        <v>22</v>
      </c>
      <c r="C86" s="12" t="s">
        <v>15</v>
      </c>
      <c r="D86" s="8">
        <f>D24</f>
        <v>12</v>
      </c>
      <c r="E86" s="23"/>
      <c r="F86" s="23"/>
      <c r="G86" s="8"/>
      <c r="H86" s="8"/>
      <c r="I86" s="169" t="s">
        <v>69</v>
      </c>
      <c r="J86" s="8" t="str">
        <f>IF(ISNA(VLOOKUP(I86,Матер!$A$2:$C$85,2,0)),0,VLOOKUP(I86,Матер!$A$2:$C$85,2,0))</f>
        <v>шт</v>
      </c>
      <c r="K86" s="10">
        <f>+D86</f>
        <v>12</v>
      </c>
      <c r="L86" s="167" t="s">
        <v>208</v>
      </c>
      <c r="M86" s="20"/>
      <c r="N86" s="20"/>
      <c r="O86" s="20"/>
      <c r="P86" s="20"/>
      <c r="Q86" s="20">
        <f t="shared" si="8"/>
        <v>0</v>
      </c>
      <c r="R86" s="20">
        <f t="shared" si="2"/>
        <v>0</v>
      </c>
      <c r="S86" s="20">
        <f t="shared" si="3"/>
        <v>0</v>
      </c>
      <c r="T86" s="20">
        <f t="shared" si="4"/>
        <v>0</v>
      </c>
      <c r="U86" s="20">
        <f t="shared" si="5"/>
        <v>0</v>
      </c>
      <c r="V86" s="20"/>
      <c r="W86"/>
      <c r="X86"/>
      <c r="Y86" s="20"/>
      <c r="AA86" s="11"/>
    </row>
    <row r="87" spans="1:28" s="17" customFormat="1">
      <c r="A87" s="12"/>
      <c r="B87" s="35"/>
      <c r="C87" s="12"/>
      <c r="D87" s="8"/>
      <c r="E87" s="23"/>
      <c r="F87" s="23"/>
      <c r="G87" s="8"/>
      <c r="H87" s="8"/>
      <c r="I87" s="169" t="s">
        <v>91</v>
      </c>
      <c r="J87" s="8" t="str">
        <f>IF(ISNA(VLOOKUP(I87,Матер!$A$2:$C$85,2,0)),0,VLOOKUP(I87,Матер!$A$2:$C$85,2,0))</f>
        <v>шт</v>
      </c>
      <c r="K87" s="10">
        <f>+D86*2</f>
        <v>24</v>
      </c>
      <c r="L87" s="8" t="s">
        <v>142</v>
      </c>
      <c r="M87" s="20"/>
      <c r="N87" s="20">
        <v>1</v>
      </c>
      <c r="O87" s="20">
        <v>0.125</v>
      </c>
      <c r="P87" s="20"/>
      <c r="Q87" s="20">
        <f t="shared" si="8"/>
        <v>3</v>
      </c>
      <c r="R87" s="20">
        <f t="shared" si="2"/>
        <v>3</v>
      </c>
      <c r="S87" s="20">
        <f t="shared" si="3"/>
        <v>0</v>
      </c>
      <c r="T87" s="20">
        <f t="shared" si="4"/>
        <v>0</v>
      </c>
      <c r="U87" s="20">
        <f t="shared" si="5"/>
        <v>0</v>
      </c>
      <c r="V87" s="20"/>
      <c r="W87"/>
      <c r="X87"/>
      <c r="Y87" s="20"/>
      <c r="AA87" s="11"/>
    </row>
    <row r="88" spans="1:28" s="17" customFormat="1">
      <c r="A88" s="12"/>
      <c r="B88" s="35"/>
      <c r="C88" s="12"/>
      <c r="D88" s="8"/>
      <c r="E88" s="23"/>
      <c r="F88" s="23"/>
      <c r="G88" s="8"/>
      <c r="H88" s="8"/>
      <c r="I88" s="169" t="s">
        <v>70</v>
      </c>
      <c r="J88" s="8" t="str">
        <f>IF(ISNA(VLOOKUP(I88,Матер!$A$2:$C$85,2,0)),0,VLOOKUP(I88,Матер!$A$2:$C$85,2,0))</f>
        <v>шт</v>
      </c>
      <c r="K88" s="10">
        <f>+D86*2</f>
        <v>24</v>
      </c>
      <c r="L88" s="8" t="s">
        <v>142</v>
      </c>
      <c r="M88" s="20"/>
      <c r="N88" s="20">
        <v>1</v>
      </c>
      <c r="O88" s="20">
        <v>1.4999999999999999E-2</v>
      </c>
      <c r="P88" s="20"/>
      <c r="Q88" s="20">
        <f t="shared" si="8"/>
        <v>0.36</v>
      </c>
      <c r="R88" s="20">
        <f t="shared" si="2"/>
        <v>0.36</v>
      </c>
      <c r="S88" s="20">
        <f t="shared" si="3"/>
        <v>0</v>
      </c>
      <c r="T88" s="20">
        <f t="shared" si="4"/>
        <v>0</v>
      </c>
      <c r="U88" s="20">
        <f t="shared" si="5"/>
        <v>0</v>
      </c>
      <c r="V88" s="20"/>
      <c r="W88"/>
      <c r="X88"/>
      <c r="Y88" s="20"/>
      <c r="AA88" s="11"/>
    </row>
    <row r="89" spans="1:28" s="17" customFormat="1" ht="25.5">
      <c r="A89" s="12">
        <v>13</v>
      </c>
      <c r="B89" s="35" t="s">
        <v>203</v>
      </c>
      <c r="C89" s="12" t="s">
        <v>15</v>
      </c>
      <c r="D89" s="16">
        <f>D25</f>
        <v>1</v>
      </c>
      <c r="E89" s="23"/>
      <c r="F89" s="23"/>
      <c r="G89" s="8"/>
      <c r="H89" s="8"/>
      <c r="I89" s="169" t="s">
        <v>57</v>
      </c>
      <c r="J89" s="8" t="s">
        <v>170</v>
      </c>
      <c r="K89" s="10">
        <f>D89*15</f>
        <v>15</v>
      </c>
      <c r="L89" s="8" t="s">
        <v>142</v>
      </c>
      <c r="M89" s="20"/>
      <c r="N89" s="20">
        <v>1</v>
      </c>
      <c r="O89" s="132">
        <v>0.26900000000000002</v>
      </c>
      <c r="P89" s="20"/>
      <c r="Q89" s="20">
        <f t="shared" si="8"/>
        <v>4.0350000000000001</v>
      </c>
      <c r="R89" s="20">
        <f t="shared" si="2"/>
        <v>4.0350000000000001</v>
      </c>
      <c r="S89" s="20">
        <f t="shared" si="3"/>
        <v>0</v>
      </c>
      <c r="T89" s="20">
        <f t="shared" si="4"/>
        <v>0</v>
      </c>
      <c r="U89" s="20">
        <f t="shared" si="5"/>
        <v>0</v>
      </c>
      <c r="V89" s="150" t="s">
        <v>186</v>
      </c>
      <c r="W89">
        <f>IF(ISNA(VLOOKUP(I89,Матер!$A$2:$C$85,3,0)),0,VLOOKUP(I89,Матер!$A$2:$C$85,3,0))</f>
        <v>68745</v>
      </c>
      <c r="X89"/>
      <c r="Y89" s="71" t="s">
        <v>80</v>
      </c>
      <c r="Z89" s="17">
        <v>261.55</v>
      </c>
      <c r="AA89" s="11">
        <f>+Z89*D89/1000</f>
        <v>0.26155</v>
      </c>
    </row>
    <row r="90" spans="1:28" s="17" customFormat="1">
      <c r="A90" s="12"/>
      <c r="B90" s="35"/>
      <c r="C90" s="12"/>
      <c r="D90" s="16"/>
      <c r="E90" s="23"/>
      <c r="F90" s="23"/>
      <c r="G90" s="8"/>
      <c r="H90" s="8"/>
      <c r="I90" s="169" t="s">
        <v>91</v>
      </c>
      <c r="J90" s="8" t="str">
        <f>IF(ISNA(VLOOKUP(I90,Матер!$A$2:$C$85,2,0)),0,VLOOKUP(I90,Матер!$A$2:$C$85,2,0))</f>
        <v>шт</v>
      </c>
      <c r="K90" s="10">
        <f>+D89*8</f>
        <v>8</v>
      </c>
      <c r="L90" s="8" t="s">
        <v>142</v>
      </c>
      <c r="M90" s="20"/>
      <c r="N90" s="20">
        <v>1</v>
      </c>
      <c r="O90" s="20">
        <v>0.125</v>
      </c>
      <c r="P90" s="20"/>
      <c r="Q90" s="20">
        <f t="shared" si="8"/>
        <v>1</v>
      </c>
      <c r="R90" s="20">
        <f t="shared" si="2"/>
        <v>1</v>
      </c>
      <c r="S90" s="20">
        <f t="shared" si="3"/>
        <v>0</v>
      </c>
      <c r="T90" s="20">
        <f t="shared" si="4"/>
        <v>0</v>
      </c>
      <c r="U90" s="20">
        <f t="shared" si="5"/>
        <v>0</v>
      </c>
      <c r="V90" s="20"/>
      <c r="W90">
        <f>IF(ISNA(VLOOKUP(I90,Матер!$A$2:$C$85,3,0)),0,VLOOKUP(I90,Матер!$A$2:$C$85,3,0))</f>
        <v>98</v>
      </c>
      <c r="X90"/>
      <c r="Y90" s="71"/>
      <c r="AA90" s="11"/>
    </row>
    <row r="91" spans="1:28" s="17" customFormat="1">
      <c r="A91" s="12"/>
      <c r="B91" s="35"/>
      <c r="C91" s="12"/>
      <c r="D91" s="16"/>
      <c r="E91" s="23"/>
      <c r="F91" s="23"/>
      <c r="G91" s="8"/>
      <c r="H91" s="8"/>
      <c r="I91" s="169" t="s">
        <v>87</v>
      </c>
      <c r="J91" s="8" t="str">
        <f>IF(ISNA(VLOOKUP(I91,Матер!$A$2:$C$85,2,0)),0,VLOOKUP(I91,Матер!$A$2:$C$85,2,0))</f>
        <v>шт</v>
      </c>
      <c r="K91" s="10">
        <f>+D89</f>
        <v>1</v>
      </c>
      <c r="L91" s="8" t="s">
        <v>142</v>
      </c>
      <c r="M91" s="20"/>
      <c r="N91" s="20">
        <v>1</v>
      </c>
      <c r="O91" s="20">
        <v>0.1</v>
      </c>
      <c r="P91" s="20"/>
      <c r="Q91" s="20">
        <f t="shared" si="8"/>
        <v>0.1</v>
      </c>
      <c r="R91" s="20">
        <f t="shared" ref="R91:R102" si="9">IF(N91=$R$12,Q91,0)</f>
        <v>0.1</v>
      </c>
      <c r="S91" s="20">
        <f t="shared" ref="S91:S103" si="10">IF(N91=$S$12,Q91,0)</f>
        <v>0</v>
      </c>
      <c r="T91" s="20">
        <f t="shared" ref="T91:T103" si="11">IF(N91=$T$12,Q91,0)</f>
        <v>0</v>
      </c>
      <c r="U91" s="20">
        <f t="shared" ref="U91:U103" si="12">IF(N91=$U$12,Q91,0)</f>
        <v>0</v>
      </c>
      <c r="V91" s="20"/>
      <c r="W91">
        <f>IF(ISNA(VLOOKUP(I91,Матер!$A$2:$C$85,3,0)),0,VLOOKUP(I91,Матер!$A$2:$C$85,3,0))</f>
        <v>20</v>
      </c>
      <c r="X91"/>
      <c r="Y91" s="71"/>
      <c r="AA91" s="11"/>
    </row>
    <row r="92" spans="1:28" s="17" customFormat="1" ht="12.75" customHeight="1">
      <c r="A92" s="12"/>
      <c r="B92" s="35"/>
      <c r="C92" s="12"/>
      <c r="D92" s="16"/>
      <c r="E92" s="23"/>
      <c r="F92" s="23"/>
      <c r="G92" s="8"/>
      <c r="H92" s="8"/>
      <c r="I92" s="169" t="s">
        <v>74</v>
      </c>
      <c r="J92" s="8" t="str">
        <f>IF(ISNA(VLOOKUP(I92,Матер!$A$2:$C$85,2,0)),0,VLOOKUP(I92,Матер!$A$2:$C$85,2,0))</f>
        <v>упак/50м</v>
      </c>
      <c r="K92" s="8">
        <f>(D89*2/50*100)/100</f>
        <v>0.04</v>
      </c>
      <c r="L92" s="8" t="s">
        <v>142</v>
      </c>
      <c r="M92" s="20"/>
      <c r="N92" s="20">
        <v>1</v>
      </c>
      <c r="O92" s="20">
        <v>3.9</v>
      </c>
      <c r="P92" s="20"/>
      <c r="Q92" s="20">
        <f t="shared" si="8"/>
        <v>0.156</v>
      </c>
      <c r="R92" s="20">
        <f t="shared" si="9"/>
        <v>0.156</v>
      </c>
      <c r="S92" s="20">
        <f t="shared" si="10"/>
        <v>0</v>
      </c>
      <c r="T92" s="20">
        <f t="shared" si="11"/>
        <v>0</v>
      </c>
      <c r="U92" s="20">
        <f t="shared" si="12"/>
        <v>0</v>
      </c>
      <c r="V92" s="20"/>
      <c r="W92">
        <f>IF(ISNA(VLOOKUP(I92,Матер!$A$2:$C$85,3,0)),0,VLOOKUP(I92,Матер!$A$2:$C$85,3,0))</f>
        <v>1500</v>
      </c>
      <c r="X92"/>
      <c r="Y92" s="20"/>
      <c r="AA92" s="11">
        <f>+Z92*D92</f>
        <v>0</v>
      </c>
    </row>
    <row r="93" spans="1:28" s="17" customFormat="1" ht="25.5" customHeight="1">
      <c r="A93" s="12"/>
      <c r="B93" s="35"/>
      <c r="C93" s="12"/>
      <c r="D93" s="16"/>
      <c r="E93" s="23"/>
      <c r="F93" s="23"/>
      <c r="G93" s="8"/>
      <c r="H93" s="8"/>
      <c r="I93" s="169" t="s">
        <v>72</v>
      </c>
      <c r="J93" s="8" t="str">
        <f>IF(ISNA(VLOOKUP(I93,Матер!$A$2:$C$85,2,0)),0,VLOOKUP(I93,Матер!$A$2:$C$85,2,0))</f>
        <v>упак/100шт</v>
      </c>
      <c r="K93" s="8">
        <f>+D89*0.02</f>
        <v>0.02</v>
      </c>
      <c r="L93" s="8" t="s">
        <v>142</v>
      </c>
      <c r="M93" s="20"/>
      <c r="N93" s="20">
        <v>1</v>
      </c>
      <c r="O93" s="20">
        <v>1</v>
      </c>
      <c r="P93" s="20"/>
      <c r="Q93" s="20">
        <f t="shared" si="8"/>
        <v>0.02</v>
      </c>
      <c r="R93" s="20">
        <f t="shared" si="9"/>
        <v>0.02</v>
      </c>
      <c r="S93" s="20">
        <f t="shared" si="10"/>
        <v>0</v>
      </c>
      <c r="T93" s="20">
        <f t="shared" si="11"/>
        <v>0</v>
      </c>
      <c r="U93" s="20">
        <f t="shared" si="12"/>
        <v>0</v>
      </c>
      <c r="V93" s="20"/>
      <c r="W93">
        <f>IF(ISNA(VLOOKUP(I93,Матер!$A$2:$C$85,3,0)),0,VLOOKUP(I93,Матер!$A$2:$C$85,3,0))</f>
        <v>600</v>
      </c>
      <c r="X93"/>
      <c r="Y93" s="20"/>
      <c r="AA93" s="11">
        <f>+Z93*D93</f>
        <v>0</v>
      </c>
    </row>
    <row r="94" spans="1:28" s="17" customFormat="1">
      <c r="A94" s="12"/>
      <c r="B94" s="35"/>
      <c r="C94" s="12"/>
      <c r="D94" s="16"/>
      <c r="E94" s="23"/>
      <c r="F94" s="23"/>
      <c r="G94" s="8"/>
      <c r="H94" s="8"/>
      <c r="I94" s="169" t="s">
        <v>38</v>
      </c>
      <c r="J94" s="8" t="str">
        <f>IF(ISNA(VLOOKUP(I94,Матер!$A$2:$C$85,2,0)),0,VLOOKUP(I94,Матер!$A$2:$C$85,2,0))</f>
        <v>шт</v>
      </c>
      <c r="K94" s="10">
        <f>+D89*2</f>
        <v>2</v>
      </c>
      <c r="L94" s="8" t="s">
        <v>142</v>
      </c>
      <c r="M94" s="20"/>
      <c r="N94" s="20">
        <v>1</v>
      </c>
      <c r="O94" s="20">
        <v>0.46</v>
      </c>
      <c r="P94" s="20"/>
      <c r="Q94" s="20">
        <f t="shared" si="8"/>
        <v>0.92</v>
      </c>
      <c r="R94" s="20">
        <f t="shared" si="9"/>
        <v>0.92</v>
      </c>
      <c r="S94" s="20">
        <f t="shared" si="10"/>
        <v>0</v>
      </c>
      <c r="T94" s="20">
        <f t="shared" si="11"/>
        <v>0</v>
      </c>
      <c r="U94" s="20">
        <f t="shared" si="12"/>
        <v>0</v>
      </c>
      <c r="V94" s="20"/>
      <c r="W94">
        <f>IF(ISNA(VLOOKUP(I94,Матер!$A$2:$C$85,3,0)),0,VLOOKUP(I94,Матер!$A$2:$C$85,3,0))</f>
        <v>66.81</v>
      </c>
      <c r="X94"/>
      <c r="Y94" s="20"/>
      <c r="AA94" s="11">
        <f>+Z94*D94</f>
        <v>0</v>
      </c>
    </row>
    <row r="95" spans="1:28" s="17" customFormat="1">
      <c r="A95" s="12"/>
      <c r="B95" s="35"/>
      <c r="C95" s="12"/>
      <c r="D95" s="16"/>
      <c r="E95" s="23"/>
      <c r="F95" s="23"/>
      <c r="G95" s="8"/>
      <c r="H95" s="8"/>
      <c r="I95" s="169" t="s">
        <v>70</v>
      </c>
      <c r="J95" s="8" t="str">
        <f>IF(ISNA(VLOOKUP(I95,Матер!$A$2:$C$85,2,0)),0,VLOOKUP(I95,Матер!$A$2:$C$85,2,0))</f>
        <v>шт</v>
      </c>
      <c r="K95" s="10">
        <f>+D89*6</f>
        <v>6</v>
      </c>
      <c r="L95" s="8" t="s">
        <v>142</v>
      </c>
      <c r="M95" s="20"/>
      <c r="N95" s="20">
        <v>1</v>
      </c>
      <c r="O95" s="20">
        <v>1.4999999999999999E-2</v>
      </c>
      <c r="P95" s="20"/>
      <c r="Q95" s="20">
        <f t="shared" si="8"/>
        <v>0.09</v>
      </c>
      <c r="R95" s="20">
        <f t="shared" si="9"/>
        <v>0.09</v>
      </c>
      <c r="S95" s="20">
        <f t="shared" si="10"/>
        <v>0</v>
      </c>
      <c r="T95" s="20">
        <f t="shared" si="11"/>
        <v>0</v>
      </c>
      <c r="U95" s="20">
        <f t="shared" si="12"/>
        <v>0</v>
      </c>
      <c r="V95" s="20"/>
      <c r="W95">
        <f>IF(ISNA(VLOOKUP(I95,Матер!$A$2:$C$85,3,0)),0,VLOOKUP(I95,Матер!$A$2:$C$85,3,0))</f>
        <v>3.5169999999999999</v>
      </c>
      <c r="X95"/>
      <c r="Y95" s="20"/>
      <c r="AA95" s="11"/>
    </row>
    <row r="96" spans="1:28" s="17" customFormat="1">
      <c r="A96" s="12">
        <v>14</v>
      </c>
      <c r="B96" s="35" t="s">
        <v>22</v>
      </c>
      <c r="C96" s="12" t="s">
        <v>15</v>
      </c>
      <c r="D96" s="8">
        <f>D26</f>
        <v>3</v>
      </c>
      <c r="E96" s="23"/>
      <c r="F96" s="23"/>
      <c r="G96" s="8"/>
      <c r="H96" s="8"/>
      <c r="I96" s="169" t="s">
        <v>69</v>
      </c>
      <c r="J96" s="8" t="str">
        <f>IF(ISNA(VLOOKUP(I96,Матер!$A$2:$C$85,2,0)),0,VLOOKUP(I96,Матер!$A$2:$C$85,2,0))</f>
        <v>шт</v>
      </c>
      <c r="K96" s="10">
        <f>+D96</f>
        <v>3</v>
      </c>
      <c r="L96" s="167" t="s">
        <v>208</v>
      </c>
      <c r="M96" s="20"/>
      <c r="N96" s="20"/>
      <c r="O96" s="20"/>
      <c r="P96" s="20"/>
      <c r="Q96" s="20">
        <f t="shared" si="8"/>
        <v>0</v>
      </c>
      <c r="R96" s="20">
        <f t="shared" si="9"/>
        <v>0</v>
      </c>
      <c r="S96" s="20">
        <f t="shared" si="10"/>
        <v>0</v>
      </c>
      <c r="T96" s="20">
        <f t="shared" si="11"/>
        <v>0</v>
      </c>
      <c r="U96" s="20">
        <f t="shared" si="12"/>
        <v>0</v>
      </c>
      <c r="V96" s="20"/>
      <c r="W96">
        <f>IF(ISNA(VLOOKUP(I96,Матер!$A$2:$C$85,3,0)),0,VLOOKUP(I96,Матер!$A$2:$C$85,3,0))</f>
        <v>0</v>
      </c>
      <c r="X96"/>
      <c r="Y96" s="71" t="s">
        <v>83</v>
      </c>
      <c r="Z96" s="32">
        <v>101.25</v>
      </c>
      <c r="AA96" s="11">
        <f>+Z96*D96/1000</f>
        <v>0.30375000000000002</v>
      </c>
      <c r="AB96" s="17">
        <f>SUM(AA89:AA96)</f>
        <v>0.56530000000000002</v>
      </c>
    </row>
    <row r="97" spans="1:27" s="17" customFormat="1">
      <c r="A97" s="12"/>
      <c r="B97" s="35"/>
      <c r="C97" s="12"/>
      <c r="D97" s="8"/>
      <c r="E97" s="23"/>
      <c r="F97" s="23"/>
      <c r="G97" s="8"/>
      <c r="H97" s="8"/>
      <c r="I97" s="169" t="s">
        <v>91</v>
      </c>
      <c r="J97" s="8" t="str">
        <f>IF(ISNA(VLOOKUP(I97,Матер!$A$2:$C$85,2,0)),0,VLOOKUP(I97,Матер!$A$2:$C$85,2,0))</f>
        <v>шт</v>
      </c>
      <c r="K97" s="10">
        <f>+D96*2</f>
        <v>6</v>
      </c>
      <c r="L97" s="8" t="s">
        <v>142</v>
      </c>
      <c r="M97" s="20"/>
      <c r="N97" s="20">
        <v>1</v>
      </c>
      <c r="O97" s="20">
        <v>0.125</v>
      </c>
      <c r="P97" s="20"/>
      <c r="Q97" s="20">
        <f t="shared" si="8"/>
        <v>0.75</v>
      </c>
      <c r="R97" s="20">
        <f t="shared" si="9"/>
        <v>0.75</v>
      </c>
      <c r="S97" s="20">
        <f t="shared" si="10"/>
        <v>0</v>
      </c>
      <c r="T97" s="20">
        <f t="shared" si="11"/>
        <v>0</v>
      </c>
      <c r="U97" s="20">
        <f t="shared" si="12"/>
        <v>0</v>
      </c>
      <c r="V97" s="20"/>
      <c r="W97">
        <f>IF(ISNA(VLOOKUP(I97,Матер!$A$2:$C$85,3,0)),0,VLOOKUP(I97,Матер!$A$2:$C$85,3,0))</f>
        <v>98</v>
      </c>
      <c r="X97"/>
      <c r="Y97" s="20"/>
      <c r="AA97" s="11">
        <f>+Z97*D97</f>
        <v>0</v>
      </c>
    </row>
    <row r="98" spans="1:27" s="17" customFormat="1">
      <c r="A98" s="12"/>
      <c r="B98" s="35"/>
      <c r="C98" s="12"/>
      <c r="D98" s="8"/>
      <c r="E98" s="23"/>
      <c r="F98" s="23"/>
      <c r="G98" s="8"/>
      <c r="H98" s="8"/>
      <c r="I98" s="169" t="s">
        <v>70</v>
      </c>
      <c r="J98" s="8" t="str">
        <f>IF(ISNA(VLOOKUP(I98,Матер!$A$2:$C$85,2,0)),0,VLOOKUP(I98,Матер!$A$2:$C$85,2,0))</f>
        <v>шт</v>
      </c>
      <c r="K98" s="10">
        <f>+D96*2</f>
        <v>6</v>
      </c>
      <c r="L98" s="8" t="s">
        <v>142</v>
      </c>
      <c r="M98" s="20"/>
      <c r="N98" s="20">
        <v>1</v>
      </c>
      <c r="O98" s="20">
        <v>1.4999999999999999E-2</v>
      </c>
      <c r="P98" s="20"/>
      <c r="Q98" s="20">
        <f t="shared" si="8"/>
        <v>0.09</v>
      </c>
      <c r="R98" s="20">
        <f t="shared" si="9"/>
        <v>0.09</v>
      </c>
      <c r="S98" s="20">
        <f t="shared" si="10"/>
        <v>0</v>
      </c>
      <c r="T98" s="20">
        <f t="shared" si="11"/>
        <v>0</v>
      </c>
      <c r="U98" s="20">
        <f t="shared" si="12"/>
        <v>0</v>
      </c>
      <c r="V98" s="20"/>
      <c r="W98">
        <f>IF(ISNA(VLOOKUP(I98,Матер!$A$2:$C$85,3,0)),0,VLOOKUP(I98,Матер!$A$2:$C$85,3,0))</f>
        <v>3.5169999999999999</v>
      </c>
      <c r="X98" t="e">
        <f>SUM(#REF!)</f>
        <v>#REF!</v>
      </c>
      <c r="Y98" s="20"/>
      <c r="AA98" s="11">
        <f>+Z98*D98</f>
        <v>0</v>
      </c>
    </row>
    <row r="99" spans="1:27" s="17" customFormat="1" ht="38.25">
      <c r="A99" s="12">
        <v>15</v>
      </c>
      <c r="B99" s="35" t="s">
        <v>23</v>
      </c>
      <c r="C99" s="12" t="s">
        <v>25</v>
      </c>
      <c r="D99" s="8">
        <f>D25</f>
        <v>1</v>
      </c>
      <c r="E99" s="23"/>
      <c r="F99" s="23"/>
      <c r="G99" s="8"/>
      <c r="H99" s="8"/>
      <c r="I99" s="169" t="s">
        <v>88</v>
      </c>
      <c r="J99" s="8" t="str">
        <f>IF(ISNA(VLOOKUP(I99,Матер!$A$2:$C$85,2,0)),0,VLOOKUP(I99,Матер!$A$2:$C$85,2,0))</f>
        <v>шт</v>
      </c>
      <c r="K99" s="10">
        <f>D99*3</f>
        <v>3</v>
      </c>
      <c r="L99" s="8" t="s">
        <v>142</v>
      </c>
      <c r="M99" s="20"/>
      <c r="N99" s="20">
        <v>1</v>
      </c>
      <c r="O99" s="20">
        <v>0.4</v>
      </c>
      <c r="P99" s="20"/>
      <c r="Q99" s="20">
        <f t="shared" si="8"/>
        <v>1.2000000000000002</v>
      </c>
      <c r="R99" s="20">
        <f t="shared" si="9"/>
        <v>1.2000000000000002</v>
      </c>
      <c r="S99" s="20">
        <f t="shared" si="10"/>
        <v>0</v>
      </c>
      <c r="T99" s="20">
        <f t="shared" si="11"/>
        <v>0</v>
      </c>
      <c r="U99" s="20">
        <f t="shared" si="12"/>
        <v>0</v>
      </c>
      <c r="V99" s="20"/>
      <c r="W99">
        <f>IF(ISNA(VLOOKUP(I99,Матер!$A$2:$C$85,3,0)),0,VLOOKUP(I99,Матер!$A$2:$C$85,3,0))</f>
        <v>791.3</v>
      </c>
      <c r="X99"/>
      <c r="Y99" s="71" t="s">
        <v>79</v>
      </c>
      <c r="Z99" s="17">
        <v>539.23</v>
      </c>
      <c r="AA99" s="11">
        <f>+Z99*D99/1000</f>
        <v>0.53922999999999999</v>
      </c>
    </row>
    <row r="100" spans="1:27" s="17" customFormat="1">
      <c r="A100" s="12"/>
      <c r="B100" s="35"/>
      <c r="C100" s="12"/>
      <c r="D100" s="8"/>
      <c r="E100" s="23"/>
      <c r="F100" s="23"/>
      <c r="G100" s="8"/>
      <c r="H100" s="8"/>
      <c r="I100" s="169" t="s">
        <v>46</v>
      </c>
      <c r="J100" s="8" t="s">
        <v>16</v>
      </c>
      <c r="K100" s="22">
        <f>D99*9.5*0.257</f>
        <v>2.4415</v>
      </c>
      <c r="L100" s="8" t="s">
        <v>142</v>
      </c>
      <c r="M100" s="20"/>
      <c r="N100" s="20">
        <v>1</v>
      </c>
      <c r="O100" s="22">
        <v>1</v>
      </c>
      <c r="P100" s="20"/>
      <c r="Q100" s="77">
        <f t="shared" si="8"/>
        <v>2.4415</v>
      </c>
      <c r="R100" s="77">
        <f t="shared" si="9"/>
        <v>2.4415</v>
      </c>
      <c r="S100" s="20">
        <f t="shared" si="10"/>
        <v>0</v>
      </c>
      <c r="T100" s="20">
        <f t="shared" si="11"/>
        <v>0</v>
      </c>
      <c r="U100" s="20">
        <f t="shared" si="12"/>
        <v>0</v>
      </c>
      <c r="V100" s="20"/>
      <c r="W100">
        <f>IF(ISNA(VLOOKUP(I100,Матер!$A$2:$C$85,3,0)),0,VLOOKUP(I100,Матер!$A$2:$C$85,3,0))</f>
        <v>35580</v>
      </c>
      <c r="X100"/>
      <c r="Y100" s="20"/>
      <c r="AA100" s="11">
        <f>+Z100*D100</f>
        <v>0</v>
      </c>
    </row>
    <row r="101" spans="1:27" s="17" customFormat="1">
      <c r="A101" s="12"/>
      <c r="B101" s="35"/>
      <c r="C101" s="12"/>
      <c r="D101" s="8"/>
      <c r="E101" s="23"/>
      <c r="F101" s="23"/>
      <c r="G101" s="8"/>
      <c r="H101" s="8"/>
      <c r="I101" s="169" t="s">
        <v>45</v>
      </c>
      <c r="J101" s="8" t="str">
        <f>IF(ISNA(VLOOKUP(I101,Матер!$A$2:$C$85,2,0)),0,VLOOKUP(I101,Матер!$A$2:$C$85,2,0))</f>
        <v>шт</v>
      </c>
      <c r="K101" s="10">
        <f>D99*3</f>
        <v>3</v>
      </c>
      <c r="L101" s="8" t="s">
        <v>142</v>
      </c>
      <c r="M101" s="20"/>
      <c r="N101" s="20">
        <v>1</v>
      </c>
      <c r="O101" s="20">
        <v>0.42</v>
      </c>
      <c r="P101" s="20"/>
      <c r="Q101" s="20">
        <f t="shared" si="8"/>
        <v>1.26</v>
      </c>
      <c r="R101" s="20">
        <f t="shared" si="9"/>
        <v>1.26</v>
      </c>
      <c r="S101" s="20">
        <f t="shared" si="10"/>
        <v>0</v>
      </c>
      <c r="T101" s="20">
        <f t="shared" si="11"/>
        <v>0</v>
      </c>
      <c r="U101" s="20">
        <f t="shared" si="12"/>
        <v>0</v>
      </c>
      <c r="V101" s="20"/>
      <c r="W101">
        <f>IF(ISNA(VLOOKUP(I101,Матер!$A$2:$C$85,3,0)),0,VLOOKUP(I101,Матер!$A$2:$C$85,3,0))</f>
        <v>74.13</v>
      </c>
      <c r="X101"/>
      <c r="Y101" s="20"/>
      <c r="AA101" s="11">
        <f>+Z101*D101</f>
        <v>0</v>
      </c>
    </row>
    <row r="102" spans="1:27" s="17" customFormat="1">
      <c r="A102" s="12"/>
      <c r="B102" s="35"/>
      <c r="C102" s="12"/>
      <c r="D102" s="16"/>
      <c r="E102" s="23"/>
      <c r="F102" s="23"/>
      <c r="G102" s="8"/>
      <c r="H102" s="8"/>
      <c r="I102" s="169" t="s">
        <v>70</v>
      </c>
      <c r="J102" s="8" t="str">
        <f>IF(ISNA(VLOOKUP(I102,Матер!$A$2:$C$85,2,0)),0,VLOOKUP(I102,Матер!$A$2:$C$85,2,0))</f>
        <v>шт</v>
      </c>
      <c r="K102" s="10">
        <f>K101*4</f>
        <v>12</v>
      </c>
      <c r="L102" s="8" t="s">
        <v>142</v>
      </c>
      <c r="M102" s="20"/>
      <c r="N102" s="20">
        <v>1</v>
      </c>
      <c r="O102" s="20">
        <v>1.4999999999999999E-2</v>
      </c>
      <c r="P102" s="20"/>
      <c r="Q102" s="20">
        <f t="shared" si="8"/>
        <v>0.18</v>
      </c>
      <c r="R102" s="20">
        <f t="shared" si="9"/>
        <v>0.18</v>
      </c>
      <c r="S102" s="20">
        <f t="shared" si="10"/>
        <v>0</v>
      </c>
      <c r="T102" s="20">
        <f t="shared" si="11"/>
        <v>0</v>
      </c>
      <c r="U102" s="20">
        <f t="shared" si="12"/>
        <v>0</v>
      </c>
      <c r="V102" s="20"/>
      <c r="W102">
        <f>IF(ISNA(VLOOKUP(I102,Матер!$A$2:$C$85,3,0)),0,VLOOKUP(I102,Матер!$A$2:$C$85,3,0))</f>
        <v>3.5169999999999999</v>
      </c>
      <c r="X102" t="e">
        <f>SUM(#REF!)</f>
        <v>#REF!</v>
      </c>
      <c r="Y102" s="20"/>
      <c r="AA102" s="11">
        <f>+Z102*D102</f>
        <v>0</v>
      </c>
    </row>
    <row r="103" spans="1:27" s="17" customFormat="1" ht="28.5">
      <c r="A103" s="12">
        <v>16</v>
      </c>
      <c r="B103" s="160" t="s">
        <v>161</v>
      </c>
      <c r="C103" s="39" t="s">
        <v>15</v>
      </c>
      <c r="D103" s="39">
        <f>+D13+D19</f>
        <v>31</v>
      </c>
      <c r="E103" s="23"/>
      <c r="F103" s="23"/>
      <c r="G103" s="8"/>
      <c r="H103" s="8"/>
      <c r="I103" s="18"/>
      <c r="J103" s="172"/>
      <c r="K103" s="10"/>
      <c r="L103" s="8" t="s">
        <v>142</v>
      </c>
      <c r="M103" s="20"/>
      <c r="N103" s="20"/>
      <c r="O103" s="20"/>
      <c r="P103" s="20"/>
      <c r="Q103" s="20">
        <f t="shared" si="8"/>
        <v>0</v>
      </c>
      <c r="R103" s="20">
        <f>IF(N103=$R$12,Q103,0)</f>
        <v>0</v>
      </c>
      <c r="S103" s="20">
        <f t="shared" si="10"/>
        <v>0</v>
      </c>
      <c r="T103" s="20">
        <f t="shared" si="11"/>
        <v>0</v>
      </c>
      <c r="U103" s="20">
        <f t="shared" si="12"/>
        <v>0</v>
      </c>
      <c r="V103" s="20"/>
      <c r="W103">
        <f>IF(ISNA(VLOOKUP(I103,Y$149:AA$152,3,0)),0,VLOOKUP(I103,Y$149:AA$152,3,0))</f>
        <v>0</v>
      </c>
      <c r="X103"/>
      <c r="Y103" s="20"/>
    </row>
    <row r="104" spans="1:27" s="17" customFormat="1" ht="15">
      <c r="A104" s="262" t="s">
        <v>187</v>
      </c>
      <c r="B104" s="263"/>
      <c r="C104" s="263"/>
      <c r="D104" s="263"/>
      <c r="E104" s="263"/>
      <c r="F104" s="263"/>
      <c r="G104" s="263"/>
      <c r="H104" s="263"/>
      <c r="I104" s="263"/>
      <c r="J104" s="263"/>
      <c r="K104" s="263"/>
      <c r="L104" s="264"/>
      <c r="M104" s="69"/>
      <c r="N104" s="69"/>
      <c r="O104" s="69"/>
      <c r="P104" s="69"/>
      <c r="Q104" s="123">
        <f>+SUM(Q28:Q103)</f>
        <v>50634.743880000002</v>
      </c>
      <c r="R104" s="123">
        <f>+SUM(R28:R103)</f>
        <v>50454.343879999993</v>
      </c>
      <c r="S104" s="123">
        <f>+SUM(S28:S103)</f>
        <v>0</v>
      </c>
      <c r="T104" s="123">
        <f>+SUM(T28:T103)</f>
        <v>180.4</v>
      </c>
      <c r="U104" s="123">
        <f>+SUM(U28:U103)</f>
        <v>0</v>
      </c>
      <c r="V104" s="123"/>
      <c r="W104" s="20"/>
      <c r="X104" s="20" t="e">
        <f>SUM(X29:X103)</f>
        <v>#REF!</v>
      </c>
      <c r="Y104" s="20"/>
      <c r="AA104" s="77">
        <f>SUM(AA26:AA103)</f>
        <v>77.566568755763186</v>
      </c>
    </row>
    <row r="105" spans="1:27" s="17" customFormat="1" ht="15">
      <c r="A105" s="116" t="s">
        <v>189</v>
      </c>
      <c r="B105" s="265" t="s">
        <v>151</v>
      </c>
      <c r="C105" s="265"/>
      <c r="D105" s="265"/>
      <c r="E105" s="265"/>
      <c r="F105" s="265"/>
      <c r="G105" s="265"/>
      <c r="H105" s="265"/>
      <c r="I105" s="265"/>
      <c r="J105" s="265"/>
      <c r="K105" s="265"/>
      <c r="L105" s="265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20"/>
      <c r="X105" s="20"/>
      <c r="Y105" s="20"/>
      <c r="AA105" s="77"/>
    </row>
    <row r="106" spans="1:27" s="17" customFormat="1" ht="28.5">
      <c r="A106" s="116" t="s">
        <v>193</v>
      </c>
      <c r="B106" s="160" t="s">
        <v>147</v>
      </c>
      <c r="C106" s="12" t="s">
        <v>156</v>
      </c>
      <c r="D106" s="16">
        <f>+R120/1000</f>
        <v>49.56</v>
      </c>
      <c r="E106" s="23"/>
      <c r="F106" s="23"/>
      <c r="G106" s="8"/>
      <c r="H106" s="8"/>
      <c r="I106" s="18"/>
      <c r="J106" s="172"/>
      <c r="K106" s="10"/>
      <c r="L106" s="8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20"/>
      <c r="X106" s="20"/>
      <c r="Y106" s="20"/>
      <c r="AA106" s="77"/>
    </row>
    <row r="107" spans="1:27" s="17" customFormat="1" ht="42.75">
      <c r="A107" s="116" t="s">
        <v>188</v>
      </c>
      <c r="B107" s="160" t="s">
        <v>148</v>
      </c>
      <c r="C107" s="12" t="s">
        <v>156</v>
      </c>
      <c r="D107" s="64">
        <f>+R121/1000</f>
        <v>0.8943438799999931</v>
      </c>
      <c r="E107" s="23"/>
      <c r="F107" s="23"/>
      <c r="G107" s="8"/>
      <c r="H107" s="8"/>
      <c r="I107" s="18"/>
      <c r="J107" s="172"/>
      <c r="K107" s="10"/>
      <c r="L107" s="8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20"/>
      <c r="X107" s="20"/>
      <c r="Y107" s="20"/>
      <c r="AA107" s="77"/>
    </row>
    <row r="108" spans="1:27" s="17" customFormat="1" ht="15">
      <c r="A108" s="116" t="s">
        <v>190</v>
      </c>
      <c r="B108" s="265" t="s">
        <v>152</v>
      </c>
      <c r="C108" s="265"/>
      <c r="D108" s="265"/>
      <c r="E108" s="265"/>
      <c r="F108" s="265"/>
      <c r="G108" s="265"/>
      <c r="H108" s="265"/>
      <c r="I108" s="265"/>
      <c r="J108" s="265"/>
      <c r="K108" s="265"/>
      <c r="L108" s="265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20"/>
      <c r="X108" s="20"/>
      <c r="Y108" s="20"/>
      <c r="AA108" s="77"/>
    </row>
    <row r="109" spans="1:27" s="17" customFormat="1" ht="71.25">
      <c r="A109" s="116" t="s">
        <v>191</v>
      </c>
      <c r="B109" s="173" t="str">
        <f>CONCATENATE("Перевозка стоек автомобилями бортовыми грузоподъемностью до 15т, на расстояние до ",F119," км I класс груза")</f>
        <v>Перевозка стоек автомобилями бортовыми грузоподъемностью до 15т, на расстояние до 55 км I класс груза</v>
      </c>
      <c r="C109" s="12" t="s">
        <v>156</v>
      </c>
      <c r="D109" s="16">
        <f>+R120/1000</f>
        <v>49.56</v>
      </c>
      <c r="E109" s="23"/>
      <c r="F109" s="23"/>
      <c r="G109" s="23"/>
      <c r="H109" s="23"/>
      <c r="I109" s="23"/>
      <c r="J109" s="172"/>
      <c r="K109" s="10"/>
      <c r="L109" s="8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20"/>
      <c r="X109" s="20"/>
      <c r="Y109" s="20"/>
      <c r="AA109" s="77"/>
    </row>
    <row r="110" spans="1:27" s="17" customFormat="1" ht="71.25">
      <c r="A110" s="116" t="s">
        <v>192</v>
      </c>
      <c r="B110" s="160" t="str">
        <f>CONCATENATE("Перевозка грузов автомобилями бортовыми грузоподъемностью до 15т, на расстояние до ",F121-30," км I класс груза")</f>
        <v>Перевозка грузов автомобилями бортовыми грузоподъемностью до 15т, на расстояние до 17 км I класс груза</v>
      </c>
      <c r="C110" s="12" t="s">
        <v>156</v>
      </c>
      <c r="D110" s="64">
        <f>(R121+T121)/1000</f>
        <v>1.0747438799999931</v>
      </c>
      <c r="E110" s="32"/>
      <c r="F110" s="23"/>
      <c r="G110" s="8"/>
      <c r="H110" s="8"/>
      <c r="I110" s="8"/>
      <c r="J110" s="172"/>
      <c r="K110" s="10"/>
      <c r="L110" s="8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20"/>
      <c r="X110" s="20"/>
      <c r="Y110" s="20"/>
      <c r="AA110" s="77"/>
    </row>
    <row r="111" spans="1:27" s="17" customFormat="1" ht="15">
      <c r="A111" s="116" t="s">
        <v>194</v>
      </c>
      <c r="B111" s="265" t="s">
        <v>204</v>
      </c>
      <c r="C111" s="265"/>
      <c r="D111" s="265"/>
      <c r="E111" s="265"/>
      <c r="F111" s="265"/>
      <c r="G111" s="265"/>
      <c r="H111" s="265"/>
      <c r="I111" s="265"/>
      <c r="J111" s="265"/>
      <c r="K111" s="265"/>
      <c r="L111" s="265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20"/>
      <c r="X111" s="20"/>
      <c r="Y111" s="20"/>
      <c r="AA111" s="77"/>
    </row>
    <row r="112" spans="1:27" s="17" customFormat="1" ht="42.75">
      <c r="A112" s="116" t="s">
        <v>195</v>
      </c>
      <c r="B112" s="160" t="s">
        <v>149</v>
      </c>
      <c r="C112" s="12" t="s">
        <v>156</v>
      </c>
      <c r="D112" s="16">
        <f>+D106</f>
        <v>49.56</v>
      </c>
      <c r="E112" s="23"/>
      <c r="F112" s="23"/>
      <c r="G112" s="8"/>
      <c r="H112" s="8"/>
      <c r="I112" s="18"/>
      <c r="J112" s="172"/>
      <c r="K112" s="10"/>
      <c r="L112" s="8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20"/>
      <c r="X112" s="20"/>
      <c r="Y112" s="20"/>
      <c r="AA112" s="77"/>
    </row>
    <row r="113" spans="1:27" s="17" customFormat="1" ht="42.75">
      <c r="A113" s="116" t="s">
        <v>196</v>
      </c>
      <c r="B113" s="160" t="s">
        <v>150</v>
      </c>
      <c r="C113" s="12" t="s">
        <v>156</v>
      </c>
      <c r="D113" s="64">
        <f>+D107</f>
        <v>0.8943438799999931</v>
      </c>
      <c r="E113" s="23"/>
      <c r="F113" s="23"/>
      <c r="G113" s="8"/>
      <c r="H113" s="8"/>
      <c r="I113" s="18"/>
      <c r="J113" s="172"/>
      <c r="K113" s="10"/>
      <c r="L113" s="8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20"/>
      <c r="X113" s="20"/>
      <c r="Y113" s="20"/>
      <c r="AA113" s="77"/>
    </row>
    <row r="114" spans="1:27" s="17" customFormat="1" ht="15" customHeight="1">
      <c r="A114" s="116" t="s">
        <v>197</v>
      </c>
      <c r="B114" s="265" t="s">
        <v>153</v>
      </c>
      <c r="C114" s="265"/>
      <c r="D114" s="265"/>
      <c r="E114" s="265"/>
      <c r="F114" s="265"/>
      <c r="G114" s="265"/>
      <c r="H114" s="265"/>
      <c r="I114" s="265"/>
      <c r="J114" s="265"/>
      <c r="K114" s="265"/>
      <c r="L114" s="265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20"/>
      <c r="X114" s="20"/>
      <c r="Y114" s="20"/>
      <c r="AA114" s="77"/>
    </row>
    <row r="115" spans="1:27" s="17" customFormat="1" ht="71.25">
      <c r="A115" s="116" t="s">
        <v>198</v>
      </c>
      <c r="B115" s="160" t="s">
        <v>154</v>
      </c>
      <c r="C115" s="12" t="s">
        <v>156</v>
      </c>
      <c r="D115" s="64">
        <f>+P120/1000</f>
        <v>16.940000000000001</v>
      </c>
      <c r="E115" s="23"/>
      <c r="F115" s="23"/>
      <c r="G115" s="8"/>
      <c r="H115" s="8"/>
      <c r="I115" s="18"/>
      <c r="J115" s="172"/>
      <c r="K115" s="10"/>
      <c r="L115" s="8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20"/>
      <c r="X115" s="20"/>
      <c r="Y115" s="20"/>
      <c r="AA115" s="77"/>
    </row>
    <row r="116" spans="1:27" s="17" customFormat="1" ht="71.25">
      <c r="A116" s="116" t="s">
        <v>199</v>
      </c>
      <c r="B116" s="160" t="s">
        <v>155</v>
      </c>
      <c r="C116" s="12" t="s">
        <v>156</v>
      </c>
      <c r="D116" s="64">
        <f>+P121/1000</f>
        <v>0.33944800000000397</v>
      </c>
      <c r="E116" s="23"/>
      <c r="F116" s="23"/>
      <c r="G116" s="8"/>
      <c r="H116" s="8"/>
      <c r="I116" s="18"/>
      <c r="J116" s="172"/>
      <c r="K116" s="10"/>
      <c r="L116" s="8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20"/>
      <c r="X116" s="20"/>
      <c r="Y116" s="20"/>
      <c r="AA116" s="77"/>
    </row>
    <row r="117" spans="1:27" s="17" customFormat="1" ht="85.5">
      <c r="A117" s="116" t="s">
        <v>200</v>
      </c>
      <c r="B117" s="173" t="str">
        <f>CONCATENATE("Перевозка строительного мусора автомобилями-самосвалами  грузоподъемностью до 10т, на расстояние до ",F122," км I класс груза")</f>
        <v>Перевозка строительного мусора автомобилями-самосвалами  грузоподъемностью до 10т, на расстояние до 55 км I класс груза</v>
      </c>
      <c r="C117" s="12" t="s">
        <v>156</v>
      </c>
      <c r="D117" s="64">
        <f>+D115+D116</f>
        <v>17.279448000000006</v>
      </c>
      <c r="E117" s="23"/>
      <c r="F117" s="23"/>
      <c r="G117" s="8"/>
      <c r="H117" s="8"/>
      <c r="I117" s="18"/>
      <c r="J117" s="172"/>
      <c r="K117" s="10"/>
      <c r="L117" s="8"/>
      <c r="M117" s="69"/>
      <c r="N117" s="69"/>
      <c r="O117" s="69"/>
      <c r="P117" s="69"/>
      <c r="Q117" s="69"/>
      <c r="R117" s="69">
        <v>1</v>
      </c>
      <c r="S117" s="69">
        <v>2</v>
      </c>
      <c r="T117" s="69">
        <v>3</v>
      </c>
      <c r="U117" s="69">
        <v>4</v>
      </c>
      <c r="V117" s="69"/>
      <c r="W117" s="20"/>
      <c r="X117" s="20"/>
      <c r="Y117" s="20"/>
      <c r="AA117" s="77"/>
    </row>
    <row r="118" spans="1:27" s="17" customFormat="1">
      <c r="A118" s="24"/>
      <c r="B118" s="25" t="s">
        <v>157</v>
      </c>
      <c r="C118" s="26"/>
      <c r="D118" s="27"/>
      <c r="G118" s="20"/>
      <c r="H118" s="20"/>
      <c r="I118" s="28"/>
      <c r="J118" s="29"/>
      <c r="K118" s="30"/>
      <c r="L118" s="20"/>
      <c r="M118" s="69"/>
      <c r="N118" s="69"/>
      <c r="O118" s="69" t="s">
        <v>167</v>
      </c>
      <c r="P118" s="124">
        <f>SUM(P13:P27)</f>
        <v>17279.448000000004</v>
      </c>
      <c r="Q118" s="17" t="s">
        <v>175</v>
      </c>
      <c r="R118" s="133">
        <f>+R104</f>
        <v>50454.343879999993</v>
      </c>
      <c r="S118" s="133">
        <f t="shared" ref="S118:U118" si="13">+S104</f>
        <v>0</v>
      </c>
      <c r="T118" s="133">
        <f t="shared" si="13"/>
        <v>180.4</v>
      </c>
      <c r="U118" s="133">
        <f t="shared" si="13"/>
        <v>0</v>
      </c>
      <c r="V118" s="69"/>
      <c r="W118" s="20"/>
      <c r="X118" s="20"/>
      <c r="Y118" s="20"/>
      <c r="AA118" s="77"/>
    </row>
    <row r="119" spans="1:27" s="17" customFormat="1">
      <c r="A119" s="24"/>
      <c r="B119" s="139" t="s">
        <v>158</v>
      </c>
      <c r="D119" s="27"/>
      <c r="F119" s="162">
        <v>55</v>
      </c>
      <c r="G119" s="140" t="s">
        <v>14</v>
      </c>
      <c r="H119" s="20"/>
      <c r="I119" s="28"/>
      <c r="J119" s="29"/>
      <c r="K119" s="30"/>
      <c r="L119" s="20"/>
      <c r="M119" s="69"/>
      <c r="N119" s="69"/>
      <c r="O119" s="69"/>
      <c r="P119" s="124"/>
      <c r="R119" s="133"/>
      <c r="S119" s="133"/>
      <c r="T119" s="133"/>
      <c r="U119" s="133"/>
      <c r="V119" s="69"/>
      <c r="W119" s="20"/>
      <c r="X119" s="20"/>
      <c r="Y119" s="20"/>
      <c r="AA119" s="77"/>
    </row>
    <row r="120" spans="1:27" s="17" customFormat="1">
      <c r="A120" s="24"/>
      <c r="B120" s="25" t="s">
        <v>159</v>
      </c>
      <c r="D120" s="27"/>
      <c r="F120" s="163">
        <f>+R120/1000</f>
        <v>49.56</v>
      </c>
      <c r="G120" s="140" t="s">
        <v>27</v>
      </c>
      <c r="H120" s="20"/>
      <c r="I120" s="28"/>
      <c r="J120" s="29"/>
      <c r="K120" s="30"/>
      <c r="L120" s="20"/>
      <c r="M120" s="69"/>
      <c r="N120" s="69"/>
      <c r="O120" s="69" t="s">
        <v>176</v>
      </c>
      <c r="P120" s="137">
        <f>+P13+P19+P22</f>
        <v>16940</v>
      </c>
      <c r="Q120" s="69" t="s">
        <v>172</v>
      </c>
      <c r="R120" s="138">
        <f>R30+R43</f>
        <v>49560</v>
      </c>
      <c r="S120" s="69"/>
      <c r="U120" s="69"/>
      <c r="V120" s="69"/>
      <c r="W120" s="20"/>
      <c r="X120" s="20"/>
      <c r="Y120" s="20"/>
      <c r="AA120" s="77"/>
    </row>
    <row r="121" spans="1:27" s="17" customFormat="1">
      <c r="A121" s="24"/>
      <c r="B121" s="17" t="s">
        <v>213</v>
      </c>
      <c r="F121" s="161">
        <v>47</v>
      </c>
      <c r="G121" s="17" t="s">
        <v>14</v>
      </c>
      <c r="H121" s="20"/>
      <c r="I121" s="28"/>
      <c r="J121" s="29"/>
      <c r="K121" s="30"/>
      <c r="L121" s="20"/>
      <c r="M121" s="69"/>
      <c r="N121" s="69"/>
      <c r="O121" s="69" t="s">
        <v>33</v>
      </c>
      <c r="P121" s="124">
        <f>+P118-P120</f>
        <v>339.44800000000396</v>
      </c>
      <c r="Q121" s="69" t="s">
        <v>173</v>
      </c>
      <c r="R121" s="123">
        <f>R118-R120</f>
        <v>894.34387999999308</v>
      </c>
      <c r="S121" s="69"/>
      <c r="T121" s="123">
        <f>T118</f>
        <v>180.4</v>
      </c>
      <c r="U121" s="69"/>
      <c r="V121" s="69"/>
      <c r="W121" s="20"/>
      <c r="X121" s="20"/>
      <c r="Y121" s="20"/>
      <c r="AA121" s="77"/>
    </row>
    <row r="122" spans="1:27" s="17" customFormat="1">
      <c r="A122" s="24"/>
      <c r="B122" s="139" t="s">
        <v>153</v>
      </c>
      <c r="D122" s="27"/>
      <c r="F122" s="162">
        <v>55</v>
      </c>
      <c r="G122" s="140" t="s">
        <v>14</v>
      </c>
      <c r="H122" s="20"/>
      <c r="I122" s="28"/>
      <c r="J122" s="29"/>
      <c r="K122" s="30"/>
      <c r="L122" s="20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20"/>
      <c r="X122" s="20"/>
      <c r="Y122" s="20"/>
      <c r="AA122" s="77"/>
    </row>
    <row r="123" spans="1:27" s="17" customFormat="1">
      <c r="A123" s="24"/>
      <c r="B123" s="139" t="s">
        <v>160</v>
      </c>
      <c r="D123" s="27"/>
      <c r="F123" s="164">
        <f>P118/1000</f>
        <v>17.279448000000006</v>
      </c>
      <c r="G123" s="140" t="s">
        <v>27</v>
      </c>
      <c r="H123" s="20"/>
      <c r="I123" s="28"/>
      <c r="J123" s="29"/>
      <c r="K123" s="30"/>
      <c r="L123" s="20"/>
      <c r="M123" s="69"/>
      <c r="N123" s="69"/>
      <c r="O123" s="69"/>
      <c r="P123" s="69"/>
      <c r="Q123" s="69"/>
      <c r="R123" s="69">
        <f>+SUM(R120:U121)-Q104</f>
        <v>0</v>
      </c>
      <c r="S123" s="69"/>
      <c r="T123" s="69"/>
      <c r="U123" s="69"/>
      <c r="V123" s="69"/>
      <c r="W123" s="20"/>
      <c r="X123" s="20"/>
      <c r="Y123" s="20"/>
      <c r="AA123" s="77"/>
    </row>
    <row r="124" spans="1:27" s="17" customFormat="1">
      <c r="A124" s="24"/>
      <c r="B124" s="25"/>
      <c r="C124" s="26"/>
      <c r="D124" s="27"/>
      <c r="G124" s="20"/>
      <c r="H124" s="20"/>
      <c r="I124" s="28"/>
      <c r="J124" s="29"/>
      <c r="K124" s="30"/>
      <c r="L124" s="20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20"/>
      <c r="X124" s="20"/>
      <c r="Y124" s="20"/>
      <c r="AA124" s="77"/>
    </row>
    <row r="125" spans="1:27" s="17" customFormat="1">
      <c r="A125" s="24"/>
      <c r="B125" s="139" t="s">
        <v>211</v>
      </c>
      <c r="C125" s="26"/>
      <c r="D125" s="27"/>
      <c r="G125" s="20"/>
      <c r="H125" s="20"/>
      <c r="I125" s="28"/>
      <c r="J125" s="29"/>
      <c r="K125" s="30"/>
      <c r="L125" s="20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20"/>
      <c r="X125" s="20"/>
      <c r="Y125" s="20"/>
      <c r="AA125" s="77"/>
    </row>
    <row r="126" spans="1:27" s="17" customFormat="1">
      <c r="A126" s="24"/>
      <c r="B126" s="25"/>
      <c r="C126" s="26"/>
      <c r="D126" s="27"/>
      <c r="G126" s="20"/>
      <c r="H126" s="20"/>
      <c r="I126" s="28"/>
      <c r="J126" s="29"/>
      <c r="K126" s="30"/>
      <c r="L126" s="20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20"/>
      <c r="X126" s="20"/>
      <c r="Y126" s="20"/>
      <c r="AA126" s="77"/>
    </row>
    <row r="127" spans="1:27" s="17" customFormat="1">
      <c r="A127" s="273" t="s">
        <v>212</v>
      </c>
      <c r="B127" s="273"/>
      <c r="C127" s="273"/>
      <c r="D127" s="273"/>
      <c r="E127" s="273"/>
      <c r="F127" s="273"/>
      <c r="G127" s="273"/>
      <c r="H127" s="273"/>
      <c r="I127" s="273"/>
      <c r="J127" s="273"/>
      <c r="K127" s="273"/>
      <c r="L127" s="273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20"/>
      <c r="X127" s="20"/>
      <c r="Y127" s="20"/>
      <c r="AA127" s="77"/>
    </row>
    <row r="128" spans="1:27" s="17" customFormat="1">
      <c r="A128" s="24"/>
      <c r="B128" s="25"/>
      <c r="C128" s="26"/>
      <c r="D128" s="27"/>
      <c r="G128" s="20"/>
      <c r="H128" s="20"/>
      <c r="I128" s="28"/>
      <c r="J128" s="29"/>
      <c r="K128" s="30"/>
      <c r="L128" s="20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20"/>
      <c r="X128" s="20"/>
      <c r="Y128" s="20"/>
      <c r="AA128" s="77"/>
    </row>
    <row r="129" spans="1:30" s="17" customFormat="1">
      <c r="A129" s="24"/>
      <c r="B129" s="25"/>
      <c r="C129" s="26"/>
      <c r="D129" s="27"/>
      <c r="G129" s="20"/>
      <c r="H129" s="20"/>
      <c r="I129" s="28"/>
      <c r="J129" s="29"/>
      <c r="K129" s="30"/>
      <c r="L129" s="20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20"/>
      <c r="X129" s="20"/>
      <c r="Y129" s="20"/>
      <c r="AA129" s="77"/>
    </row>
    <row r="130" spans="1:30" s="17" customFormat="1">
      <c r="A130" s="24"/>
      <c r="B130" s="25"/>
      <c r="C130" s="26"/>
      <c r="D130" s="27"/>
      <c r="G130" s="20"/>
      <c r="H130" s="20"/>
      <c r="I130" s="28"/>
      <c r="J130" s="29"/>
      <c r="K130" s="30"/>
      <c r="L130" s="20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20"/>
      <c r="X130" s="20"/>
      <c r="Y130" s="20"/>
      <c r="AA130" s="77"/>
    </row>
    <row r="131" spans="1:30" s="17" customFormat="1">
      <c r="A131" s="24"/>
      <c r="B131" s="25"/>
      <c r="C131" s="26"/>
      <c r="D131" s="27"/>
      <c r="G131" s="20"/>
      <c r="H131" s="20"/>
      <c r="I131" s="28"/>
      <c r="J131" s="29"/>
      <c r="K131" s="30"/>
      <c r="L131" s="20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20"/>
      <c r="X131" s="20"/>
      <c r="Y131" s="20"/>
      <c r="AA131" s="77"/>
    </row>
    <row r="132" spans="1:30" s="17" customFormat="1">
      <c r="A132" s="24"/>
      <c r="B132" s="25"/>
      <c r="C132" s="26"/>
      <c r="D132" s="27"/>
      <c r="G132" s="20"/>
      <c r="H132" s="20"/>
      <c r="I132" s="28"/>
      <c r="J132" s="29"/>
      <c r="K132" s="30"/>
      <c r="L132" s="20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20"/>
      <c r="X132" s="20"/>
      <c r="Y132" s="20"/>
      <c r="AA132" s="77"/>
    </row>
    <row r="133" spans="1:30" s="17" customFormat="1">
      <c r="A133" s="24"/>
      <c r="B133" s="25"/>
      <c r="C133" s="26"/>
      <c r="D133" s="27"/>
      <c r="G133" s="20"/>
      <c r="H133" s="20"/>
      <c r="I133" s="28"/>
      <c r="J133" s="29"/>
      <c r="K133" s="30"/>
      <c r="L133" s="20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20"/>
      <c r="X133" s="20"/>
      <c r="Y133" s="20"/>
      <c r="AA133" s="77"/>
    </row>
    <row r="134" spans="1:30" s="17" customFormat="1">
      <c r="A134" s="24"/>
      <c r="B134" s="25"/>
      <c r="C134" s="26"/>
      <c r="D134" s="27"/>
      <c r="G134" s="20"/>
      <c r="H134" s="20"/>
      <c r="I134" s="28"/>
      <c r="J134" s="29"/>
      <c r="K134" s="30"/>
      <c r="L134" s="20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20"/>
      <c r="X134" s="20"/>
      <c r="Y134" s="20"/>
      <c r="AA134" s="77"/>
    </row>
    <row r="135" spans="1:30" s="17" customFormat="1">
      <c r="A135" s="24"/>
      <c r="B135" s="25"/>
      <c r="C135" s="26"/>
      <c r="D135" s="27"/>
      <c r="G135" s="20"/>
      <c r="H135" s="20"/>
      <c r="I135" s="28"/>
      <c r="J135" s="29"/>
      <c r="K135" s="30"/>
      <c r="L135" s="20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20"/>
      <c r="X135" s="20"/>
      <c r="Y135" s="20"/>
      <c r="AA135" s="77"/>
    </row>
    <row r="136" spans="1:30" s="17" customFormat="1">
      <c r="A136" s="24"/>
      <c r="B136" s="25"/>
      <c r="C136" s="26"/>
      <c r="D136" s="27"/>
      <c r="G136" s="20"/>
      <c r="H136" s="20"/>
      <c r="I136" s="28"/>
      <c r="J136" s="29"/>
      <c r="K136" s="30"/>
      <c r="L136" s="20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20"/>
      <c r="X136" s="20"/>
      <c r="Y136" s="20"/>
      <c r="AA136" s="77"/>
    </row>
    <row r="137" spans="1:30" s="17" customFormat="1">
      <c r="A137" s="24"/>
      <c r="B137" s="25"/>
      <c r="C137" s="26"/>
      <c r="D137" s="27"/>
      <c r="G137" s="20"/>
      <c r="H137" s="20"/>
      <c r="I137" s="28"/>
      <c r="J137" s="29"/>
      <c r="K137" s="30"/>
      <c r="L137" s="20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20"/>
      <c r="X137" s="20"/>
      <c r="Y137" s="20"/>
      <c r="AA137" s="77"/>
    </row>
    <row r="138" spans="1:30" s="17" customFormat="1">
      <c r="A138" s="24"/>
      <c r="B138" s="25"/>
      <c r="C138" s="26"/>
      <c r="D138" s="27"/>
      <c r="G138" s="20"/>
      <c r="H138" s="20"/>
      <c r="I138" s="28"/>
      <c r="J138" s="29"/>
      <c r="K138" s="30"/>
      <c r="L138" s="20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20"/>
      <c r="X138" s="20"/>
      <c r="Y138" s="20"/>
      <c r="AA138" s="77"/>
    </row>
    <row r="139" spans="1:30" s="17" customFormat="1">
      <c r="A139" s="24"/>
      <c r="B139" s="25"/>
      <c r="C139" s="26"/>
      <c r="D139" s="27"/>
      <c r="G139" s="20"/>
      <c r="H139" s="20"/>
      <c r="I139" s="28"/>
      <c r="J139" s="29"/>
      <c r="K139" s="30"/>
      <c r="L139" s="20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20"/>
      <c r="X139" s="20"/>
      <c r="Y139" s="20"/>
      <c r="AA139" s="77"/>
    </row>
    <row r="140" spans="1:30" s="17" customFormat="1">
      <c r="A140" s="24"/>
      <c r="B140" s="25"/>
      <c r="C140" s="26"/>
      <c r="D140" s="27"/>
      <c r="G140" s="20"/>
      <c r="H140" s="20"/>
      <c r="I140" s="28"/>
      <c r="J140" s="29"/>
      <c r="K140" s="30"/>
      <c r="L140" s="20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20"/>
      <c r="X140" s="20"/>
      <c r="Y140" s="20"/>
      <c r="AA140" s="77"/>
    </row>
    <row r="141" spans="1:30" s="17" customFormat="1">
      <c r="A141" s="24"/>
      <c r="B141" t="s">
        <v>130</v>
      </c>
      <c r="C141"/>
      <c r="D141" t="s">
        <v>131</v>
      </c>
      <c r="G141" s="20"/>
      <c r="H141" s="20"/>
      <c r="I141" s="28"/>
      <c r="J141" s="29"/>
      <c r="K141" s="3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</row>
    <row r="142" spans="1:30" s="17" customFormat="1">
      <c r="A142" s="24"/>
      <c r="B142"/>
      <c r="C142"/>
      <c r="D142"/>
      <c r="G142" s="20"/>
      <c r="H142" s="20"/>
      <c r="I142" s="28"/>
      <c r="J142" s="29"/>
      <c r="K142" s="3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 t="str">
        <f>+F8</f>
        <v>"ВЛ-04кВ  от  КТП-582,583  на Тихонову Падь" (дисп. Наименование ВЛ-0,4кВ от КТП-583/160 фидер № 1)</v>
      </c>
      <c r="AA142" s="17" t="s">
        <v>116</v>
      </c>
      <c r="AB142" s="17" t="s">
        <v>116</v>
      </c>
      <c r="AC142" s="17" t="s">
        <v>107</v>
      </c>
    </row>
    <row r="143" spans="1:30" s="17" customFormat="1" ht="25.5">
      <c r="A143" s="24"/>
      <c r="B143" t="s">
        <v>132</v>
      </c>
      <c r="C143"/>
      <c r="D143" t="s">
        <v>133</v>
      </c>
      <c r="G143" s="20"/>
      <c r="H143" s="20"/>
      <c r="I143" s="28"/>
      <c r="J143" s="29"/>
      <c r="K143" s="3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82" t="s">
        <v>99</v>
      </c>
      <c r="Z143" s="82">
        <f>+D30</f>
        <v>11</v>
      </c>
      <c r="AA143" s="15">
        <v>9.6300000000000008</v>
      </c>
      <c r="AB143" s="15">
        <f>+Z143*AA143</f>
        <v>105.93</v>
      </c>
      <c r="AC143" s="17" t="e">
        <f>+SUM(#REF!)</f>
        <v>#REF!</v>
      </c>
      <c r="AD143" s="17" t="e">
        <f>+ROUNDUP(AC143/1000,1)</f>
        <v>#REF!</v>
      </c>
    </row>
    <row r="144" spans="1:30" s="17" customFormat="1" ht="25.5">
      <c r="A144" s="24"/>
      <c r="B144"/>
      <c r="C144"/>
      <c r="D144"/>
      <c r="G144" s="20"/>
      <c r="H144" s="20"/>
      <c r="I144" s="28"/>
      <c r="J144" s="29"/>
      <c r="K144" s="3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82" t="s">
        <v>100</v>
      </c>
      <c r="Z144" s="82">
        <f>+D43+D54</f>
        <v>20</v>
      </c>
      <c r="AA144" s="15">
        <v>5.36</v>
      </c>
      <c r="AB144" s="15">
        <f t="shared" ref="AB144:AB149" si="14">+Z144*AA144</f>
        <v>107.2</v>
      </c>
      <c r="AC144" s="17" t="e">
        <f>+SUM(#REF!)</f>
        <v>#REF!</v>
      </c>
      <c r="AD144" s="17" t="e">
        <f t="shared" ref="AD144:AD149" si="15">+ROUNDUP(AC144/1000,1)</f>
        <v>#REF!</v>
      </c>
    </row>
    <row r="145" spans="1:30" s="17" customFormat="1">
      <c r="A145" s="24"/>
      <c r="B145" t="s">
        <v>134</v>
      </c>
      <c r="C145"/>
      <c r="D145" t="s">
        <v>135</v>
      </c>
      <c r="G145" s="20"/>
      <c r="H145" s="20"/>
      <c r="I145" s="28"/>
      <c r="J145" s="29"/>
      <c r="K145" s="3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82" t="s">
        <v>102</v>
      </c>
      <c r="Z145" s="82" t="e">
        <f>+#REF!</f>
        <v>#REF!</v>
      </c>
      <c r="AA145" s="15">
        <v>1</v>
      </c>
      <c r="AB145" s="15" t="e">
        <f t="shared" si="14"/>
        <v>#REF!</v>
      </c>
      <c r="AC145" s="17" t="e">
        <f>+SUM(#REF!)</f>
        <v>#REF!</v>
      </c>
      <c r="AD145" s="17" t="e">
        <f t="shared" si="15"/>
        <v>#REF!</v>
      </c>
    </row>
    <row r="146" spans="1:30" s="17" customFormat="1" ht="25.5">
      <c r="A146" s="24"/>
      <c r="B146"/>
      <c r="C146"/>
      <c r="D146"/>
      <c r="G146" s="20"/>
      <c r="H146" s="20"/>
      <c r="I146" s="28"/>
      <c r="J146" s="29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/>
      <c r="Y146" s="82" t="s">
        <v>101</v>
      </c>
      <c r="Z146" s="82">
        <f>+D69</f>
        <v>0</v>
      </c>
      <c r="AA146" s="23">
        <v>1.08</v>
      </c>
      <c r="AB146" s="15">
        <f t="shared" si="14"/>
        <v>0</v>
      </c>
      <c r="AC146" s="17" t="e">
        <f>+SUM(#REF!)</f>
        <v>#REF!</v>
      </c>
      <c r="AD146" s="17" t="e">
        <f t="shared" si="15"/>
        <v>#REF!</v>
      </c>
    </row>
    <row r="147" spans="1:30" ht="25.5">
      <c r="B147" s="4" t="s">
        <v>136</v>
      </c>
      <c r="D147" t="s">
        <v>137</v>
      </c>
      <c r="Y147" s="82" t="s">
        <v>103</v>
      </c>
      <c r="Z147" s="82">
        <f>+D89</f>
        <v>1</v>
      </c>
      <c r="AA147" s="23">
        <v>2</v>
      </c>
      <c r="AB147" s="15">
        <f t="shared" si="14"/>
        <v>2</v>
      </c>
      <c r="AC147" t="e">
        <f>+SUM(#REF!)</f>
        <v>#REF!</v>
      </c>
      <c r="AD147" s="17" t="e">
        <f t="shared" si="15"/>
        <v>#REF!</v>
      </c>
    </row>
    <row r="148" spans="1:30">
      <c r="B148" s="9"/>
      <c r="Y148" s="82" t="s">
        <v>104</v>
      </c>
      <c r="Z148" s="82">
        <f>+D99</f>
        <v>1</v>
      </c>
      <c r="AA148" s="23">
        <v>2.08</v>
      </c>
      <c r="AB148" s="15">
        <f t="shared" si="14"/>
        <v>2.08</v>
      </c>
      <c r="AC148" t="e">
        <f>+SUM(#REF!)</f>
        <v>#REF!</v>
      </c>
      <c r="AD148" s="17" t="e">
        <f t="shared" si="15"/>
        <v>#REF!</v>
      </c>
    </row>
    <row r="149" spans="1:30">
      <c r="Y149" s="82" t="s">
        <v>105</v>
      </c>
      <c r="Z149" s="83">
        <f>+D28</f>
        <v>0.40799999999999997</v>
      </c>
      <c r="AA149" s="23">
        <v>36.6</v>
      </c>
      <c r="AB149" s="15">
        <f t="shared" si="14"/>
        <v>14.9328</v>
      </c>
      <c r="AC149" t="e">
        <f>+SUM(#REF!)+SUM(#REF!)</f>
        <v>#REF!</v>
      </c>
      <c r="AD149" s="17" t="e">
        <f t="shared" si="15"/>
        <v>#REF!</v>
      </c>
    </row>
    <row r="150" spans="1:30">
      <c r="AB150" t="e">
        <f>SUM(AB143:AB149)</f>
        <v>#REF!</v>
      </c>
      <c r="AC150" t="e">
        <f>SUM(AC143:AC149)</f>
        <v>#REF!</v>
      </c>
    </row>
    <row r="151" spans="1:30">
      <c r="AC151" s="98" t="e">
        <f>+#REF!-AC150</f>
        <v>#REF!</v>
      </c>
    </row>
  </sheetData>
  <mergeCells count="11">
    <mergeCell ref="A127:L127"/>
    <mergeCell ref="K8:L8"/>
    <mergeCell ref="O10:Q10"/>
    <mergeCell ref="M11:N11"/>
    <mergeCell ref="P11:Q11"/>
    <mergeCell ref="R11:U11"/>
    <mergeCell ref="B114:L114"/>
    <mergeCell ref="B105:L105"/>
    <mergeCell ref="B108:L108"/>
    <mergeCell ref="B111:L111"/>
    <mergeCell ref="A104:L104"/>
  </mergeCells>
  <dataValidations count="1">
    <dataValidation type="list" allowBlank="1" showInputMessage="1" showErrorMessage="1" sqref="I28:I102">
      <formula1>материалы</formula1>
    </dataValidation>
  </dataValidations>
  <hyperlinks>
    <hyperlink ref="W27" r:id="rId1" display="https://k-ps.ru/spravochnik/provoda-izolirovannyie/dlya-vozdushnyix-linij-peredach/sip-2/provod-sip-2-3%D1%8570_1%D1%8554_6.html"/>
  </hyperlinks>
  <pageMargins left="0.74803149606299213" right="0.74803149606299213" top="0.98425196850393704" bottom="0.98425196850393704" header="0.51181102362204722" footer="0.51181102362204722"/>
  <pageSetup paperSize="256" scale="18" orientation="landscape" r:id="rId2"/>
  <headerFooter alignWithMargins="0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AD151"/>
  <sheetViews>
    <sheetView view="pageBreakPreview" topLeftCell="A91" zoomScale="80" zoomScaleNormal="85" zoomScaleSheetLayoutView="80" workbookViewId="0">
      <selection activeCell="A104" sqref="A104:L104"/>
    </sheetView>
  </sheetViews>
  <sheetFormatPr defaultRowHeight="12.75" outlineLevelRow="1"/>
  <cols>
    <col min="1" max="1" width="7.5703125" customWidth="1"/>
    <col min="2" max="2" width="30.140625" customWidth="1"/>
    <col min="3" max="3" width="7.5703125" customWidth="1"/>
    <col min="4" max="4" width="9.28515625" customWidth="1"/>
    <col min="5" max="5" width="30" customWidth="1"/>
    <col min="6" max="6" width="8.140625" bestFit="1" customWidth="1"/>
    <col min="7" max="7" width="11" bestFit="1" customWidth="1"/>
    <col min="8" max="8" width="11.140625" customWidth="1"/>
    <col min="9" max="9" width="60.28515625" customWidth="1"/>
    <col min="10" max="10" width="10.140625" customWidth="1"/>
    <col min="11" max="11" width="8.7109375" customWidth="1"/>
    <col min="12" max="12" width="13.42578125" customWidth="1"/>
    <col min="13" max="13" width="6.140625" bestFit="1" customWidth="1"/>
    <col min="14" max="14" width="6.85546875" bestFit="1" customWidth="1"/>
    <col min="15" max="15" width="13.140625" bestFit="1" customWidth="1"/>
    <col min="16" max="16" width="9.42578125" customWidth="1"/>
    <col min="17" max="17" width="10.42578125" customWidth="1"/>
    <col min="18" max="18" width="10.42578125" bestFit="1" customWidth="1"/>
    <col min="19" max="19" width="7.5703125" customWidth="1"/>
    <col min="20" max="20" width="5.85546875" bestFit="1" customWidth="1"/>
    <col min="21" max="21" width="6.5703125" customWidth="1"/>
    <col min="22" max="22" width="45.42578125" customWidth="1"/>
    <col min="23" max="23" width="10.42578125" bestFit="1" customWidth="1"/>
    <col min="25" max="25" width="59.28515625" customWidth="1"/>
    <col min="27" max="27" width="14" customWidth="1"/>
  </cols>
  <sheetData>
    <row r="1" spans="1:26">
      <c r="B1" s="115"/>
      <c r="K1" s="2" t="s">
        <v>0</v>
      </c>
      <c r="L1" s="1"/>
    </row>
    <row r="2" spans="1:26">
      <c r="B2" s="3"/>
      <c r="E2" s="4"/>
      <c r="J2" s="2" t="s">
        <v>138</v>
      </c>
      <c r="K2" s="2"/>
      <c r="L2" s="1"/>
      <c r="Y2" s="71" t="s">
        <v>77</v>
      </c>
      <c r="Z2" s="17">
        <v>1591</v>
      </c>
    </row>
    <row r="3" spans="1:26">
      <c r="B3" s="115"/>
      <c r="J3" s="2" t="s">
        <v>139</v>
      </c>
      <c r="K3" s="2"/>
      <c r="L3" s="1"/>
    </row>
    <row r="4" spans="1:26">
      <c r="B4" s="3"/>
      <c r="J4" s="153" t="s">
        <v>201</v>
      </c>
      <c r="K4" s="153"/>
      <c r="L4" s="1"/>
    </row>
    <row r="5" spans="1:26" ht="18">
      <c r="B5" s="34"/>
      <c r="C5" s="34"/>
      <c r="D5" s="34"/>
      <c r="E5" s="34"/>
      <c r="F5" s="34"/>
      <c r="G5" s="34" t="s">
        <v>1</v>
      </c>
      <c r="H5" s="34"/>
      <c r="I5" s="34"/>
      <c r="J5" s="34"/>
      <c r="K5" s="34"/>
      <c r="L5" s="34"/>
    </row>
    <row r="6" spans="1:26" ht="18">
      <c r="B6" s="34"/>
      <c r="E6" s="13" t="s">
        <v>17</v>
      </c>
      <c r="F6" s="14"/>
      <c r="G6" s="41"/>
      <c r="H6" s="41"/>
      <c r="I6" s="34"/>
      <c r="J6" s="34"/>
      <c r="K6" s="42"/>
      <c r="L6" s="34"/>
    </row>
    <row r="7" spans="1:26" ht="18.75" thickBot="1">
      <c r="B7" s="34"/>
      <c r="C7" s="34"/>
      <c r="D7" s="34"/>
      <c r="E7" s="34"/>
      <c r="F7" s="43" t="s">
        <v>2</v>
      </c>
      <c r="G7" s="34"/>
      <c r="H7" s="34"/>
      <c r="I7" s="34"/>
      <c r="J7" s="34"/>
      <c r="K7" s="34"/>
      <c r="L7" s="34"/>
    </row>
    <row r="8" spans="1:26" ht="18.75" thickBot="1">
      <c r="B8" s="44"/>
      <c r="C8" s="44"/>
      <c r="D8" s="44"/>
      <c r="E8" s="44"/>
      <c r="F8" s="34" t="s">
        <v>205</v>
      </c>
      <c r="G8" s="44"/>
      <c r="H8" s="44"/>
      <c r="I8" s="44"/>
      <c r="J8" s="95" t="s">
        <v>140</v>
      </c>
      <c r="K8" s="274">
        <v>100285</v>
      </c>
      <c r="L8" s="275"/>
      <c r="M8" s="31"/>
      <c r="N8" s="31"/>
      <c r="O8" s="31"/>
      <c r="P8" s="31"/>
      <c r="Q8" s="31"/>
      <c r="R8" s="31"/>
      <c r="S8" s="31"/>
      <c r="T8" s="31"/>
      <c r="U8" s="31"/>
      <c r="V8" s="31"/>
      <c r="W8" s="17"/>
      <c r="X8" s="17"/>
      <c r="Y8" s="17"/>
    </row>
    <row r="9" spans="1:26">
      <c r="A9" s="45" t="s">
        <v>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6" ht="25.5">
      <c r="A10" s="46" t="s">
        <v>4</v>
      </c>
      <c r="B10" s="46" t="s">
        <v>5</v>
      </c>
      <c r="C10" s="47" t="s">
        <v>6</v>
      </c>
      <c r="D10" s="48"/>
      <c r="E10" s="47" t="s">
        <v>7</v>
      </c>
      <c r="F10" s="49"/>
      <c r="G10" s="49"/>
      <c r="H10" s="48"/>
      <c r="I10" s="47" t="s">
        <v>8</v>
      </c>
      <c r="J10" s="49"/>
      <c r="K10" s="49"/>
      <c r="L10" s="48"/>
      <c r="M10" s="118"/>
      <c r="N10" s="118"/>
      <c r="O10" s="279" t="s">
        <v>162</v>
      </c>
      <c r="P10" s="280"/>
      <c r="Q10" s="281"/>
      <c r="R10" s="11"/>
      <c r="S10" s="11"/>
      <c r="T10" s="11"/>
      <c r="U10" s="11"/>
      <c r="V10" s="11"/>
      <c r="W10" s="32"/>
      <c r="X10" s="32"/>
      <c r="Y10" s="32"/>
    </row>
    <row r="11" spans="1:26" ht="67.5">
      <c r="A11" s="50"/>
      <c r="B11" s="50"/>
      <c r="C11" s="5" t="s">
        <v>9</v>
      </c>
      <c r="D11" s="5" t="s">
        <v>10</v>
      </c>
      <c r="E11" s="5" t="s">
        <v>11</v>
      </c>
      <c r="F11" s="5" t="s">
        <v>9</v>
      </c>
      <c r="G11" s="5" t="s">
        <v>10</v>
      </c>
      <c r="H11" s="6" t="s">
        <v>12</v>
      </c>
      <c r="I11" s="5" t="s">
        <v>11</v>
      </c>
      <c r="J11" s="5" t="s">
        <v>9</v>
      </c>
      <c r="K11" s="5" t="s">
        <v>10</v>
      </c>
      <c r="L11" s="6" t="s">
        <v>13</v>
      </c>
      <c r="M11" s="239" t="s">
        <v>163</v>
      </c>
      <c r="N11" s="241"/>
      <c r="O11" s="154" t="s">
        <v>164</v>
      </c>
      <c r="P11" s="239" t="s">
        <v>165</v>
      </c>
      <c r="Q11" s="241"/>
      <c r="R11" s="239" t="s">
        <v>166</v>
      </c>
      <c r="S11" s="240"/>
      <c r="T11" s="240"/>
      <c r="U11" s="241"/>
      <c r="V11" s="130"/>
      <c r="W11" s="36"/>
      <c r="X11" s="36"/>
      <c r="Y11" s="36"/>
    </row>
    <row r="12" spans="1:26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33">
        <v>9</v>
      </c>
      <c r="J12" s="33">
        <v>10</v>
      </c>
      <c r="K12" s="33">
        <v>11</v>
      </c>
      <c r="L12" s="33">
        <v>12</v>
      </c>
      <c r="M12" s="119" t="s">
        <v>167</v>
      </c>
      <c r="N12" s="119" t="s">
        <v>168</v>
      </c>
      <c r="O12" s="120"/>
      <c r="P12" s="120" t="s">
        <v>167</v>
      </c>
      <c r="Q12" s="120" t="s">
        <v>168</v>
      </c>
      <c r="R12" s="121">
        <v>1</v>
      </c>
      <c r="S12" s="122">
        <v>2</v>
      </c>
      <c r="T12" s="121">
        <v>3</v>
      </c>
      <c r="U12" s="122">
        <v>4</v>
      </c>
      <c r="V12" s="131"/>
      <c r="X12" s="20"/>
      <c r="Y12" s="20"/>
    </row>
    <row r="13" spans="1:26" s="11" customFormat="1" ht="51.75" customHeight="1">
      <c r="A13" s="8">
        <v>1</v>
      </c>
      <c r="B13" s="19" t="s">
        <v>143</v>
      </c>
      <c r="C13" s="12" t="s">
        <v>15</v>
      </c>
      <c r="D13" s="8">
        <v>5</v>
      </c>
      <c r="E13" s="35" t="s">
        <v>18</v>
      </c>
      <c r="F13" s="8" t="s">
        <v>144</v>
      </c>
      <c r="G13" s="8">
        <f>D13*(0.5+0.4)</f>
        <v>4.5</v>
      </c>
      <c r="H13" s="8" t="s">
        <v>32</v>
      </c>
      <c r="I13" s="141"/>
      <c r="J13" s="8"/>
      <c r="K13" s="8"/>
      <c r="L13" s="8"/>
      <c r="M13" s="134">
        <v>1</v>
      </c>
      <c r="N13" s="135"/>
      <c r="O13" s="129">
        <v>600</v>
      </c>
      <c r="P13" s="145">
        <f t="shared" ref="P13:P27" si="0">O13*G13</f>
        <v>2700</v>
      </c>
      <c r="Q13" s="20"/>
      <c r="R13" s="20"/>
      <c r="S13" s="20"/>
      <c r="T13" s="20"/>
      <c r="U13" s="20"/>
      <c r="V13" s="143" t="s">
        <v>178</v>
      </c>
      <c r="X13" s="76"/>
      <c r="Y13" s="20"/>
    </row>
    <row r="14" spans="1:26" s="11" customFormat="1">
      <c r="A14" s="8"/>
      <c r="B14" s="19"/>
      <c r="C14" s="12"/>
      <c r="D14" s="8"/>
      <c r="E14" s="35" t="s">
        <v>28</v>
      </c>
      <c r="F14" s="8" t="s">
        <v>15</v>
      </c>
      <c r="G14" s="8">
        <f>D13*4</f>
        <v>20</v>
      </c>
      <c r="H14" s="8" t="s">
        <v>33</v>
      </c>
      <c r="I14" s="8"/>
      <c r="J14" s="8"/>
      <c r="K14" s="8"/>
      <c r="L14" s="8"/>
      <c r="M14" s="20">
        <v>1</v>
      </c>
      <c r="N14" s="20"/>
      <c r="O14" s="8">
        <v>0.8</v>
      </c>
      <c r="P14" s="8">
        <f t="shared" si="0"/>
        <v>16</v>
      </c>
      <c r="Q14" s="20"/>
      <c r="R14" s="20"/>
      <c r="S14" s="20"/>
      <c r="T14" s="20"/>
      <c r="U14" s="20"/>
      <c r="V14" s="36"/>
      <c r="X14" s="37"/>
      <c r="Y14" s="20"/>
    </row>
    <row r="15" spans="1:26" s="11" customFormat="1">
      <c r="A15" s="8"/>
      <c r="B15" s="19"/>
      <c r="C15" s="12"/>
      <c r="D15" s="8"/>
      <c r="E15" s="165" t="s">
        <v>19</v>
      </c>
      <c r="F15" s="8" t="s">
        <v>15</v>
      </c>
      <c r="G15" s="8">
        <f>D13*4</f>
        <v>20</v>
      </c>
      <c r="H15" s="8" t="s">
        <v>32</v>
      </c>
      <c r="I15" s="8"/>
      <c r="J15" s="8"/>
      <c r="K15" s="8"/>
      <c r="L15" s="8"/>
      <c r="M15" s="20">
        <v>1</v>
      </c>
      <c r="N15" s="20"/>
      <c r="O15" s="8">
        <v>0.47</v>
      </c>
      <c r="P15" s="8">
        <f t="shared" si="0"/>
        <v>9.3999999999999986</v>
      </c>
      <c r="Q15" s="20"/>
      <c r="R15" s="20"/>
      <c r="S15" s="20"/>
      <c r="T15" s="20"/>
      <c r="U15" s="20"/>
      <c r="V15" s="36"/>
      <c r="X15" s="38"/>
      <c r="Y15" s="20"/>
    </row>
    <row r="16" spans="1:26" s="11" customFormat="1" ht="38.25" hidden="1" outlineLevel="1">
      <c r="A16" s="8">
        <v>2</v>
      </c>
      <c r="B16" s="19" t="s">
        <v>145</v>
      </c>
      <c r="C16" s="12" t="s">
        <v>15</v>
      </c>
      <c r="D16" s="8">
        <v>0</v>
      </c>
      <c r="E16" s="35" t="s">
        <v>18</v>
      </c>
      <c r="F16" s="8" t="s">
        <v>15</v>
      </c>
      <c r="G16" s="8">
        <f>D16*0.5</f>
        <v>0</v>
      </c>
      <c r="H16" s="8" t="s">
        <v>32</v>
      </c>
      <c r="I16" s="141"/>
      <c r="J16" s="8"/>
      <c r="K16" s="8"/>
      <c r="L16" s="8"/>
      <c r="M16" s="20">
        <v>1</v>
      </c>
      <c r="N16" s="20"/>
      <c r="O16" s="8">
        <v>600</v>
      </c>
      <c r="P16" s="8">
        <f t="shared" si="0"/>
        <v>0</v>
      </c>
      <c r="Q16" s="20"/>
      <c r="R16" s="20"/>
      <c r="S16" s="20"/>
      <c r="T16" s="20"/>
      <c r="U16" s="20"/>
      <c r="V16" s="143" t="s">
        <v>178</v>
      </c>
      <c r="X16" s="38"/>
      <c r="Y16" s="20"/>
    </row>
    <row r="17" spans="1:27" s="11" customFormat="1" hidden="1" outlineLevel="1">
      <c r="A17" s="8"/>
      <c r="B17" s="19"/>
      <c r="C17" s="12"/>
      <c r="D17" s="8"/>
      <c r="E17" s="35" t="s">
        <v>28</v>
      </c>
      <c r="F17" s="8" t="s">
        <v>15</v>
      </c>
      <c r="G17" s="8">
        <f>D16*4</f>
        <v>0</v>
      </c>
      <c r="H17" s="8" t="s">
        <v>33</v>
      </c>
      <c r="I17" s="141"/>
      <c r="J17" s="8"/>
      <c r="K17" s="8"/>
      <c r="L17" s="8"/>
      <c r="M17" s="20">
        <v>1</v>
      </c>
      <c r="N17" s="20"/>
      <c r="O17" s="8">
        <v>0.8</v>
      </c>
      <c r="P17" s="8">
        <f t="shared" si="0"/>
        <v>0</v>
      </c>
      <c r="Q17" s="20"/>
      <c r="R17" s="20"/>
      <c r="S17" s="20"/>
      <c r="T17" s="20"/>
      <c r="U17" s="20"/>
      <c r="V17" s="38"/>
      <c r="X17" s="38"/>
      <c r="Y17" s="20"/>
    </row>
    <row r="18" spans="1:27" s="11" customFormat="1" hidden="1" outlineLevel="1">
      <c r="A18" s="8"/>
      <c r="B18" s="19"/>
      <c r="C18" s="12"/>
      <c r="D18" s="8"/>
      <c r="E18" s="165" t="s">
        <v>19</v>
      </c>
      <c r="F18" s="8" t="s">
        <v>15</v>
      </c>
      <c r="G18" s="8">
        <f>D16*4</f>
        <v>0</v>
      </c>
      <c r="H18" s="8" t="s">
        <v>32</v>
      </c>
      <c r="I18" s="8"/>
      <c r="J18" s="8"/>
      <c r="K18" s="8"/>
      <c r="L18" s="8"/>
      <c r="M18" s="20">
        <v>1</v>
      </c>
      <c r="N18" s="20"/>
      <c r="O18" s="8">
        <v>0.47</v>
      </c>
      <c r="P18" s="8">
        <f t="shared" si="0"/>
        <v>0</v>
      </c>
      <c r="Q18" s="20"/>
      <c r="R18" s="20"/>
      <c r="S18" s="20"/>
      <c r="T18" s="20"/>
      <c r="U18" s="20"/>
      <c r="V18" s="38"/>
      <c r="X18" s="38"/>
      <c r="Y18" s="20"/>
    </row>
    <row r="19" spans="1:27" s="11" customFormat="1" ht="38.25" collapsed="1">
      <c r="A19" s="8">
        <v>2</v>
      </c>
      <c r="B19" s="19" t="s">
        <v>146</v>
      </c>
      <c r="C19" s="12" t="s">
        <v>15</v>
      </c>
      <c r="D19" s="8">
        <v>16</v>
      </c>
      <c r="E19" s="35" t="s">
        <v>18</v>
      </c>
      <c r="F19" s="8" t="s">
        <v>144</v>
      </c>
      <c r="G19" s="8">
        <f>D19*0.5</f>
        <v>8</v>
      </c>
      <c r="H19" s="8" t="s">
        <v>32</v>
      </c>
      <c r="I19" s="141"/>
      <c r="J19" s="8"/>
      <c r="K19" s="8"/>
      <c r="L19" s="8"/>
      <c r="M19" s="134">
        <v>1</v>
      </c>
      <c r="N19" s="135"/>
      <c r="O19" s="129">
        <v>600</v>
      </c>
      <c r="P19" s="145">
        <f t="shared" si="0"/>
        <v>4800</v>
      </c>
      <c r="Q19" s="20"/>
      <c r="R19" s="20"/>
      <c r="S19" s="20"/>
      <c r="T19" s="20"/>
      <c r="U19" s="20"/>
      <c r="V19" s="143" t="s">
        <v>178</v>
      </c>
      <c r="X19" s="38"/>
      <c r="Y19" s="20"/>
    </row>
    <row r="20" spans="1:27" s="11" customFormat="1">
      <c r="A20" s="8"/>
      <c r="B20" s="19"/>
      <c r="C20" s="12"/>
      <c r="D20" s="8"/>
      <c r="E20" s="35" t="s">
        <v>28</v>
      </c>
      <c r="F20" s="8" t="s">
        <v>15</v>
      </c>
      <c r="G20" s="8">
        <f>D19*4</f>
        <v>64</v>
      </c>
      <c r="H20" s="8" t="s">
        <v>33</v>
      </c>
      <c r="I20" s="8"/>
      <c r="J20" s="8"/>
      <c r="K20" s="8"/>
      <c r="L20" s="8"/>
      <c r="M20" s="20">
        <v>1</v>
      </c>
      <c r="N20" s="20"/>
      <c r="O20" s="8">
        <v>0.8</v>
      </c>
      <c r="P20" s="8">
        <f t="shared" si="0"/>
        <v>51.2</v>
      </c>
      <c r="Q20" s="20"/>
      <c r="R20" s="20"/>
      <c r="S20" s="20"/>
      <c r="T20" s="20"/>
      <c r="U20" s="20"/>
      <c r="V20" s="38"/>
      <c r="X20" s="38"/>
      <c r="Y20" s="20"/>
    </row>
    <row r="21" spans="1:27" s="11" customFormat="1">
      <c r="A21" s="8"/>
      <c r="B21" s="19"/>
      <c r="C21" s="12"/>
      <c r="D21" s="8"/>
      <c r="E21" s="165" t="s">
        <v>19</v>
      </c>
      <c r="F21" s="8" t="s">
        <v>15</v>
      </c>
      <c r="G21" s="8">
        <f>D19*4</f>
        <v>64</v>
      </c>
      <c r="H21" s="8" t="s">
        <v>32</v>
      </c>
      <c r="I21" s="8"/>
      <c r="J21" s="8"/>
      <c r="K21" s="8"/>
      <c r="L21" s="8"/>
      <c r="M21" s="20">
        <v>1</v>
      </c>
      <c r="N21" s="20"/>
      <c r="O21" s="8">
        <v>0.47</v>
      </c>
      <c r="P21" s="8">
        <f t="shared" si="0"/>
        <v>30.08</v>
      </c>
      <c r="Q21" s="20"/>
      <c r="R21" s="20"/>
      <c r="S21" s="20"/>
      <c r="T21" s="20"/>
      <c r="U21" s="20"/>
      <c r="V21" s="38"/>
      <c r="X21" s="38"/>
      <c r="Y21" s="20"/>
    </row>
    <row r="22" spans="1:27" s="11" customFormat="1">
      <c r="A22" s="8"/>
      <c r="B22" s="19"/>
      <c r="C22" s="12"/>
      <c r="D22" s="8"/>
      <c r="E22" s="166" t="s">
        <v>98</v>
      </c>
      <c r="F22" s="8" t="s">
        <v>15</v>
      </c>
      <c r="G22" s="8">
        <f>D19</f>
        <v>16</v>
      </c>
      <c r="H22" s="8" t="s">
        <v>32</v>
      </c>
      <c r="I22" s="8"/>
      <c r="J22" s="8"/>
      <c r="K22" s="8"/>
      <c r="L22" s="8"/>
      <c r="M22" s="136">
        <v>1</v>
      </c>
      <c r="N22" s="136"/>
      <c r="O22" s="128">
        <v>250</v>
      </c>
      <c r="P22" s="129">
        <f t="shared" si="0"/>
        <v>4000</v>
      </c>
      <c r="Q22" s="20"/>
      <c r="R22" s="20"/>
      <c r="S22" s="20"/>
      <c r="T22" s="20"/>
      <c r="U22" s="20"/>
      <c r="V22" s="155" t="s">
        <v>179</v>
      </c>
      <c r="X22" s="38"/>
      <c r="Y22" s="20"/>
    </row>
    <row r="23" spans="1:27" s="11" customFormat="1" ht="51">
      <c r="A23" s="8">
        <v>3</v>
      </c>
      <c r="B23" s="35" t="s">
        <v>20</v>
      </c>
      <c r="C23" s="12" t="s">
        <v>15</v>
      </c>
      <c r="D23" s="8">
        <v>16</v>
      </c>
      <c r="E23" s="102" t="s">
        <v>34</v>
      </c>
      <c r="F23" s="8" t="s">
        <v>170</v>
      </c>
      <c r="G23" s="127">
        <f>D23*15*2</f>
        <v>480</v>
      </c>
      <c r="H23" s="8" t="s">
        <v>33</v>
      </c>
      <c r="I23" s="142"/>
      <c r="J23" s="8"/>
      <c r="K23" s="8"/>
      <c r="L23" s="8"/>
      <c r="M23" s="20">
        <v>1</v>
      </c>
      <c r="N23" s="20"/>
      <c r="O23" s="145">
        <f>68/1000</f>
        <v>6.8000000000000005E-2</v>
      </c>
      <c r="P23" s="127">
        <f t="shared" si="0"/>
        <v>32.64</v>
      </c>
      <c r="Q23" s="20"/>
      <c r="R23" s="20"/>
      <c r="S23" s="20"/>
      <c r="T23" s="20"/>
      <c r="U23" s="20"/>
      <c r="V23" s="146" t="s">
        <v>180</v>
      </c>
      <c r="X23" s="38"/>
      <c r="Y23" s="20"/>
    </row>
    <row r="24" spans="1:27" s="11" customFormat="1">
      <c r="A24" s="8">
        <v>4</v>
      </c>
      <c r="B24" s="35" t="s">
        <v>117</v>
      </c>
      <c r="C24" s="12" t="s">
        <v>15</v>
      </c>
      <c r="D24" s="8">
        <f>+D23</f>
        <v>16</v>
      </c>
      <c r="E24" s="102" t="s">
        <v>30</v>
      </c>
      <c r="F24" s="8" t="s">
        <v>15</v>
      </c>
      <c r="G24" s="8">
        <f>D24</f>
        <v>16</v>
      </c>
      <c r="H24" s="167" t="s">
        <v>208</v>
      </c>
      <c r="I24" s="102"/>
      <c r="J24" s="8"/>
      <c r="K24" s="8"/>
      <c r="L24" s="8"/>
      <c r="M24" s="20">
        <v>1</v>
      </c>
      <c r="N24" s="20"/>
      <c r="O24" s="8"/>
      <c r="P24" s="127">
        <f t="shared" si="0"/>
        <v>0</v>
      </c>
      <c r="Q24" s="20"/>
      <c r="R24" s="20"/>
      <c r="S24" s="20"/>
      <c r="T24" s="20"/>
      <c r="U24" s="20"/>
      <c r="V24" s="38"/>
      <c r="X24" s="38"/>
      <c r="Y24" s="20"/>
    </row>
    <row r="25" spans="1:27" s="11" customFormat="1" ht="51">
      <c r="A25" s="8">
        <v>5</v>
      </c>
      <c r="B25" s="35" t="s">
        <v>29</v>
      </c>
      <c r="C25" s="12" t="s">
        <v>15</v>
      </c>
      <c r="D25" s="8">
        <v>3</v>
      </c>
      <c r="E25" s="102" t="s">
        <v>34</v>
      </c>
      <c r="F25" s="8" t="s">
        <v>170</v>
      </c>
      <c r="G25" s="127">
        <f>D25*15*4</f>
        <v>180</v>
      </c>
      <c r="H25" s="8" t="s">
        <v>33</v>
      </c>
      <c r="I25" s="142"/>
      <c r="J25" s="8"/>
      <c r="K25" s="8"/>
      <c r="L25" s="8"/>
      <c r="M25" s="20">
        <v>1</v>
      </c>
      <c r="N25" s="20"/>
      <c r="O25" s="145">
        <f>68/1000</f>
        <v>6.8000000000000005E-2</v>
      </c>
      <c r="P25" s="127">
        <f t="shared" si="0"/>
        <v>12.24</v>
      </c>
      <c r="Q25" s="20"/>
      <c r="R25" s="20"/>
      <c r="S25" s="20"/>
      <c r="T25" s="20"/>
      <c r="U25" s="20"/>
      <c r="V25" s="146" t="s">
        <v>181</v>
      </c>
      <c r="X25" s="38"/>
      <c r="Y25" s="20"/>
    </row>
    <row r="26" spans="1:27" s="11" customFormat="1">
      <c r="A26" s="8">
        <v>6</v>
      </c>
      <c r="B26" s="35" t="s">
        <v>117</v>
      </c>
      <c r="C26" s="12" t="s">
        <v>15</v>
      </c>
      <c r="D26" s="8">
        <f>+D25*3</f>
        <v>9</v>
      </c>
      <c r="E26" s="102" t="s">
        <v>30</v>
      </c>
      <c r="F26" s="8" t="s">
        <v>15</v>
      </c>
      <c r="G26" s="8">
        <f>D26</f>
        <v>9</v>
      </c>
      <c r="H26" s="167" t="s">
        <v>208</v>
      </c>
      <c r="I26" s="102"/>
      <c r="J26" s="8"/>
      <c r="K26" s="8"/>
      <c r="L26" s="8"/>
      <c r="M26" s="20">
        <v>1</v>
      </c>
      <c r="N26" s="20"/>
      <c r="O26" s="8"/>
      <c r="P26" s="127">
        <f t="shared" si="0"/>
        <v>0</v>
      </c>
      <c r="Q26" s="20"/>
      <c r="R26" s="20"/>
      <c r="S26" s="20"/>
      <c r="T26" s="20"/>
      <c r="U26" s="20"/>
      <c r="V26" s="20"/>
      <c r="X26" s="38"/>
      <c r="Y26" s="20"/>
      <c r="AA26" s="11">
        <f>+Z26*D26</f>
        <v>0</v>
      </c>
    </row>
    <row r="27" spans="1:27" s="11" customFormat="1" ht="38.25">
      <c r="A27" s="8">
        <v>7</v>
      </c>
      <c r="B27" s="19" t="s">
        <v>24</v>
      </c>
      <c r="C27" s="12" t="s">
        <v>26</v>
      </c>
      <c r="D27" s="8">
        <v>1.792</v>
      </c>
      <c r="E27" s="102" t="s">
        <v>35</v>
      </c>
      <c r="F27" s="8" t="s">
        <v>14</v>
      </c>
      <c r="G27" s="168">
        <f>D27</f>
        <v>1.792</v>
      </c>
      <c r="H27" s="8" t="s">
        <v>33</v>
      </c>
      <c r="I27" s="8"/>
      <c r="J27" s="8"/>
      <c r="K27" s="8"/>
      <c r="L27" s="8"/>
      <c r="M27" s="20">
        <v>1</v>
      </c>
      <c r="N27" s="20"/>
      <c r="O27" s="147">
        <v>94</v>
      </c>
      <c r="P27" s="127">
        <f t="shared" si="0"/>
        <v>168.44800000000001</v>
      </c>
      <c r="Q27" s="20"/>
      <c r="R27" s="20"/>
      <c r="S27" s="20"/>
      <c r="T27" s="20"/>
      <c r="U27" s="20"/>
      <c r="V27" s="146" t="s">
        <v>182</v>
      </c>
      <c r="W27" s="148" t="s">
        <v>183</v>
      </c>
      <c r="X27" s="38"/>
      <c r="Y27" s="71" t="s">
        <v>82</v>
      </c>
      <c r="Z27" s="17">
        <v>4568.4367375999991</v>
      </c>
      <c r="AA27" s="11">
        <f>+Z27*D27/1000</f>
        <v>8.1866386337791983</v>
      </c>
    </row>
    <row r="28" spans="1:27" s="17" customFormat="1" ht="25.5">
      <c r="A28" s="12">
        <v>8</v>
      </c>
      <c r="B28" s="35" t="s">
        <v>184</v>
      </c>
      <c r="C28" s="12" t="s">
        <v>14</v>
      </c>
      <c r="D28" s="64">
        <f>D27/4</f>
        <v>0.44800000000000001</v>
      </c>
      <c r="E28" s="8"/>
      <c r="F28" s="8"/>
      <c r="G28" s="8"/>
      <c r="H28" s="8"/>
      <c r="I28" s="169" t="s">
        <v>58</v>
      </c>
      <c r="J28" s="8" t="s">
        <v>14</v>
      </c>
      <c r="K28" s="22">
        <f>D28*1.02</f>
        <v>0.45696000000000003</v>
      </c>
      <c r="L28" s="8" t="s">
        <v>142</v>
      </c>
      <c r="M28" s="126">
        <f>+K28/D28-1</f>
        <v>2.0000000000000018E-2</v>
      </c>
      <c r="N28" s="20">
        <v>1</v>
      </c>
      <c r="O28" s="128">
        <v>1093</v>
      </c>
      <c r="P28" s="20"/>
      <c r="Q28" s="20">
        <f t="shared" ref="Q28:Q38" si="1">O28*K28</f>
        <v>499.45728000000003</v>
      </c>
      <c r="R28" s="20">
        <f t="shared" ref="R28:R90" si="2">IF(N28=$R$12,Q28,0)</f>
        <v>499.45728000000003</v>
      </c>
      <c r="S28" s="20">
        <f t="shared" ref="S28:S90" si="3">IF(N28=$S$12,Q28,0)</f>
        <v>0</v>
      </c>
      <c r="T28" s="20">
        <f t="shared" ref="T28:T90" si="4">IF(N28=$T$12,Q28,0)</f>
        <v>0</v>
      </c>
      <c r="U28" s="20">
        <f t="shared" ref="U28:U90" si="5">IF(N28=$U$12,Q28,0)</f>
        <v>0</v>
      </c>
      <c r="V28" s="156" t="s">
        <v>185</v>
      </c>
      <c r="W28">
        <f>IF(ISNA(VLOOKUP(I28,Матер!$A$2:$C$85,3,0)),0,VLOOKUP(I28,Матер!$A$2:$C$85,3,0))</f>
        <v>190000</v>
      </c>
      <c r="X28"/>
      <c r="Y28" s="20"/>
      <c r="AA28" s="11">
        <f>+Z28*D28</f>
        <v>0</v>
      </c>
    </row>
    <row r="29" spans="1:27" s="17" customFormat="1">
      <c r="A29" s="12"/>
      <c r="B29" s="23"/>
      <c r="C29" s="8"/>
      <c r="D29" s="8"/>
      <c r="E29" s="8"/>
      <c r="F29" s="8"/>
      <c r="G29" s="8"/>
      <c r="H29" s="8"/>
      <c r="I29" s="169" t="s">
        <v>75</v>
      </c>
      <c r="J29" s="8" t="str">
        <f>IF(ISNA(VLOOKUP(I29,Матер!$A$2:$C$85,2,0)),0,VLOOKUP(I29,Матер!$A$2:$C$85,2,0))</f>
        <v>шт</v>
      </c>
      <c r="K29" s="10">
        <f>D19</f>
        <v>16</v>
      </c>
      <c r="L29" s="8" t="s">
        <v>142</v>
      </c>
      <c r="M29" s="20"/>
      <c r="N29" s="20">
        <v>1</v>
      </c>
      <c r="O29" s="20">
        <v>0.19</v>
      </c>
      <c r="P29" s="20"/>
      <c r="Q29" s="20">
        <f t="shared" si="1"/>
        <v>3.04</v>
      </c>
      <c r="R29" s="20">
        <f t="shared" si="2"/>
        <v>3.04</v>
      </c>
      <c r="S29" s="20">
        <f t="shared" si="3"/>
        <v>0</v>
      </c>
      <c r="T29" s="20">
        <f t="shared" si="4"/>
        <v>0</v>
      </c>
      <c r="U29" s="20">
        <f t="shared" si="5"/>
        <v>0</v>
      </c>
      <c r="V29" s="20"/>
      <c r="W29">
        <f>IF(ISNA(VLOOKUP(I29,Матер!$A$2:$C$85,3,0)),0,VLOOKUP(I29,Матер!$A$2:$C$85,3,0))</f>
        <v>350</v>
      </c>
      <c r="X29" t="e">
        <f>SUM(#REF!)</f>
        <v>#REF!</v>
      </c>
      <c r="Y29" s="20"/>
      <c r="AA29" s="11">
        <f>+Z29*D29</f>
        <v>0</v>
      </c>
    </row>
    <row r="30" spans="1:27" s="11" customFormat="1" ht="76.5">
      <c r="A30" s="8">
        <v>9</v>
      </c>
      <c r="B30" s="170" t="s">
        <v>209</v>
      </c>
      <c r="C30" s="12" t="s">
        <v>15</v>
      </c>
      <c r="D30" s="8">
        <f>D13</f>
        <v>5</v>
      </c>
      <c r="E30" s="23"/>
      <c r="F30" s="23"/>
      <c r="G30" s="8"/>
      <c r="H30" s="8"/>
      <c r="I30" s="169" t="s">
        <v>84</v>
      </c>
      <c r="J30" s="8" t="str">
        <f>IF(ISNA(VLOOKUP(I30,Матер!$A$2:$C$85,2,0)),0,VLOOKUP(I30,Матер!$A$2:$C$85,2,0))</f>
        <v>шт</v>
      </c>
      <c r="K30" s="8">
        <f>D30*2</f>
        <v>10</v>
      </c>
      <c r="L30" s="8" t="s">
        <v>141</v>
      </c>
      <c r="M30" s="20"/>
      <c r="N30" s="125">
        <v>1</v>
      </c>
      <c r="O30" s="125">
        <v>1180</v>
      </c>
      <c r="P30" s="125"/>
      <c r="Q30" s="125">
        <f t="shared" si="1"/>
        <v>11800</v>
      </c>
      <c r="R30" s="125">
        <f t="shared" si="2"/>
        <v>11800</v>
      </c>
      <c r="S30" s="125">
        <f t="shared" si="3"/>
        <v>0</v>
      </c>
      <c r="T30" s="125">
        <f t="shared" si="4"/>
        <v>0</v>
      </c>
      <c r="U30" s="125">
        <f t="shared" si="5"/>
        <v>0</v>
      </c>
      <c r="V30" s="20"/>
      <c r="W30">
        <f>IF(ISNA(VLOOKUP(I30,Матер!$A$2:$C$85,3,0)),0,VLOOKUP(I30,Матер!$A$2:$C$85,3,0))</f>
        <v>7800</v>
      </c>
      <c r="X30"/>
      <c r="Y30" s="71" t="s">
        <v>78</v>
      </c>
      <c r="Z30" s="17">
        <v>3095.25</v>
      </c>
      <c r="AA30" s="11">
        <f>+Z30*D30/1000</f>
        <v>15.47625</v>
      </c>
    </row>
    <row r="31" spans="1:27" s="11" customFormat="1">
      <c r="A31" s="8"/>
      <c r="B31" s="19"/>
      <c r="C31" s="12"/>
      <c r="D31" s="8"/>
      <c r="E31" s="23"/>
      <c r="F31" s="23"/>
      <c r="G31" s="8"/>
      <c r="H31" s="8"/>
      <c r="I31" s="169" t="s">
        <v>169</v>
      </c>
      <c r="J31" s="8" t="s">
        <v>15</v>
      </c>
      <c r="K31" s="8">
        <f>D30*1</f>
        <v>5</v>
      </c>
      <c r="L31" s="8" t="s">
        <v>142</v>
      </c>
      <c r="M31" s="20"/>
      <c r="N31" s="20">
        <v>1</v>
      </c>
      <c r="O31" s="149">
        <v>7</v>
      </c>
      <c r="P31" s="20"/>
      <c r="Q31" s="20">
        <f t="shared" si="1"/>
        <v>35</v>
      </c>
      <c r="R31" s="20">
        <f t="shared" si="2"/>
        <v>35</v>
      </c>
      <c r="S31" s="20">
        <f t="shared" si="3"/>
        <v>0</v>
      </c>
      <c r="T31" s="20">
        <f t="shared" si="4"/>
        <v>0</v>
      </c>
      <c r="U31" s="20">
        <f t="shared" si="5"/>
        <v>0</v>
      </c>
      <c r="V31" s="143" t="s">
        <v>178</v>
      </c>
      <c r="W31">
        <f>IF(ISNA(VLOOKUP(I31,Матер!$A$2:$C$85,3,0)),0,VLOOKUP(I31,Матер!$A$2:$C$85,3,0))</f>
        <v>0</v>
      </c>
      <c r="X31"/>
      <c r="Y31" s="20"/>
      <c r="AA31" s="11">
        <f>+Z31*D31</f>
        <v>0</v>
      </c>
    </row>
    <row r="32" spans="1:27" s="11" customFormat="1">
      <c r="A32" s="8"/>
      <c r="B32" s="19"/>
      <c r="C32" s="12"/>
      <c r="D32" s="8"/>
      <c r="E32" s="23"/>
      <c r="F32" s="23"/>
      <c r="G32" s="8"/>
      <c r="H32" s="8"/>
      <c r="I32" s="169" t="s">
        <v>86</v>
      </c>
      <c r="J32" s="8" t="str">
        <f>IF(ISNA(VLOOKUP(I32,Матер!$A$2:$C$85,2,0)),0,VLOOKUP(I32,Матер!$A$2:$C$85,2,0))</f>
        <v>шт</v>
      </c>
      <c r="K32" s="8">
        <f>+D30*2</f>
        <v>10</v>
      </c>
      <c r="L32" s="8" t="s">
        <v>142</v>
      </c>
      <c r="M32" s="20"/>
      <c r="N32" s="20">
        <v>1</v>
      </c>
      <c r="O32" s="20">
        <v>0.28999999999999998</v>
      </c>
      <c r="P32" s="20"/>
      <c r="Q32" s="20">
        <f t="shared" si="1"/>
        <v>2.9</v>
      </c>
      <c r="R32" s="20">
        <f t="shared" si="2"/>
        <v>2.9</v>
      </c>
      <c r="S32" s="20">
        <f t="shared" si="3"/>
        <v>0</v>
      </c>
      <c r="T32" s="20">
        <f t="shared" si="4"/>
        <v>0</v>
      </c>
      <c r="U32" s="20">
        <f t="shared" si="5"/>
        <v>0</v>
      </c>
      <c r="V32" s="20"/>
      <c r="W32">
        <f>IF(ISNA(VLOOKUP(I32,Матер!$A$2:$C$85,3,0)),0,VLOOKUP(I32,Матер!$A$2:$C$85,3,0))</f>
        <v>100</v>
      </c>
      <c r="X32"/>
      <c r="Y32" s="20"/>
      <c r="AA32" s="11">
        <f>+Z32*D32</f>
        <v>0</v>
      </c>
    </row>
    <row r="33" spans="1:27" s="11" customFormat="1">
      <c r="A33" s="8"/>
      <c r="B33" s="19"/>
      <c r="C33" s="12"/>
      <c r="D33" s="8"/>
      <c r="E33" s="23"/>
      <c r="F33" s="23"/>
      <c r="G33" s="8"/>
      <c r="H33" s="8"/>
      <c r="I33" s="169" t="s">
        <v>74</v>
      </c>
      <c r="J33" s="8" t="s">
        <v>171</v>
      </c>
      <c r="K33" s="8">
        <f>(D30*3/50*100)/100</f>
        <v>0.3</v>
      </c>
      <c r="L33" s="8" t="s">
        <v>142</v>
      </c>
      <c r="M33" s="20"/>
      <c r="N33" s="20">
        <v>1</v>
      </c>
      <c r="O33" s="20">
        <v>3.9</v>
      </c>
      <c r="P33" s="20"/>
      <c r="Q33" s="20">
        <f t="shared" si="1"/>
        <v>1.17</v>
      </c>
      <c r="R33" s="20">
        <f t="shared" si="2"/>
        <v>1.17</v>
      </c>
      <c r="S33" s="20">
        <f t="shared" si="3"/>
        <v>0</v>
      </c>
      <c r="T33" s="20">
        <f t="shared" si="4"/>
        <v>0</v>
      </c>
      <c r="U33" s="20">
        <f t="shared" si="5"/>
        <v>0</v>
      </c>
      <c r="V33" s="20"/>
      <c r="W33">
        <f>IF(ISNA(VLOOKUP(I33,Матер!$A$2:$C$85,3,0)),0,VLOOKUP(I33,Матер!$A$2:$C$85,3,0))</f>
        <v>1500</v>
      </c>
      <c r="X33"/>
      <c r="Y33" s="20"/>
    </row>
    <row r="34" spans="1:27" s="11" customFormat="1">
      <c r="A34" s="8"/>
      <c r="B34" s="8"/>
      <c r="C34" s="8"/>
      <c r="D34" s="8"/>
      <c r="E34" s="23"/>
      <c r="F34" s="23"/>
      <c r="G34" s="8"/>
      <c r="H34" s="8"/>
      <c r="I34" s="169" t="s">
        <v>89</v>
      </c>
      <c r="J34" s="8" t="s">
        <v>15</v>
      </c>
      <c r="K34" s="8">
        <f>D30*2</f>
        <v>10</v>
      </c>
      <c r="L34" s="8" t="s">
        <v>142</v>
      </c>
      <c r="M34" s="20"/>
      <c r="N34" s="20">
        <v>1</v>
      </c>
      <c r="O34" s="20">
        <v>0.02</v>
      </c>
      <c r="P34" s="20"/>
      <c r="Q34" s="20">
        <f t="shared" si="1"/>
        <v>0.2</v>
      </c>
      <c r="R34" s="20">
        <f t="shared" si="2"/>
        <v>0.2</v>
      </c>
      <c r="S34" s="20">
        <f t="shared" si="3"/>
        <v>0</v>
      </c>
      <c r="T34" s="20">
        <f t="shared" si="4"/>
        <v>0</v>
      </c>
      <c r="U34" s="20">
        <f t="shared" si="5"/>
        <v>0</v>
      </c>
      <c r="V34" s="20"/>
      <c r="W34">
        <f>IF(ISNA(VLOOKUP(I34,Матер!$A$2:$C$85,3,0)),0,VLOOKUP(I34,Матер!$A$2:$C$85,3,0))</f>
        <v>987.06</v>
      </c>
      <c r="X34"/>
      <c r="Y34" s="20"/>
      <c r="AA34" s="11">
        <f>+Z34*D34</f>
        <v>0</v>
      </c>
    </row>
    <row r="35" spans="1:27" s="11" customFormat="1">
      <c r="A35" s="8"/>
      <c r="B35" s="8"/>
      <c r="C35" s="8"/>
      <c r="D35" s="8"/>
      <c r="E35" s="23"/>
      <c r="F35" s="23"/>
      <c r="G35" s="8"/>
      <c r="H35" s="8"/>
      <c r="I35" s="169" t="s">
        <v>70</v>
      </c>
      <c r="J35" s="8" t="str">
        <f>IF(ISNA(VLOOKUP(I35,Матер!$A$2:$C$85,2,0)),0,VLOOKUP(I35,Матер!$A$2:$C$85,2,0))</f>
        <v>шт</v>
      </c>
      <c r="K35" s="12">
        <f>D30*4</f>
        <v>20</v>
      </c>
      <c r="L35" s="8" t="s">
        <v>142</v>
      </c>
      <c r="M35" s="20"/>
      <c r="N35" s="20">
        <v>1</v>
      </c>
      <c r="O35" s="20">
        <v>1.4999999999999999E-2</v>
      </c>
      <c r="P35" s="20"/>
      <c r="Q35" s="20">
        <f t="shared" si="1"/>
        <v>0.3</v>
      </c>
      <c r="R35" s="20">
        <f t="shared" si="2"/>
        <v>0.3</v>
      </c>
      <c r="S35" s="20">
        <f t="shared" si="3"/>
        <v>0</v>
      </c>
      <c r="T35" s="20">
        <f t="shared" si="4"/>
        <v>0</v>
      </c>
      <c r="U35" s="20">
        <f t="shared" si="5"/>
        <v>0</v>
      </c>
      <c r="V35" s="20"/>
      <c r="W35">
        <f>IF(ISNA(VLOOKUP(I35,Матер!$A$2:$C$85,3,0)),0,VLOOKUP(I35,Матер!$A$2:$C$85,3,0))</f>
        <v>3.5169999999999999</v>
      </c>
      <c r="X35"/>
      <c r="Y35" s="20"/>
      <c r="AA35" s="11">
        <f>+Z35*D35</f>
        <v>0</v>
      </c>
    </row>
    <row r="36" spans="1:27" s="11" customFormat="1">
      <c r="A36" s="8"/>
      <c r="B36" s="8"/>
      <c r="C36" s="8"/>
      <c r="D36" s="8"/>
      <c r="E36" s="23"/>
      <c r="F36" s="23"/>
      <c r="G36" s="8"/>
      <c r="H36" s="8"/>
      <c r="I36" s="169" t="s">
        <v>36</v>
      </c>
      <c r="J36" s="8" t="str">
        <f>IF(ISNA(VLOOKUP(I36,Матер!$A$2:$C$85,2,0)),0,VLOOKUP(I36,Матер!$A$2:$C$85,2,0))</f>
        <v>шт</v>
      </c>
      <c r="K36" s="12">
        <f>+D30*2</f>
        <v>10</v>
      </c>
      <c r="L36" s="8" t="s">
        <v>142</v>
      </c>
      <c r="M36" s="20"/>
      <c r="N36" s="20">
        <v>1</v>
      </c>
      <c r="O36" s="20">
        <v>0.46</v>
      </c>
      <c r="P36" s="20"/>
      <c r="Q36" s="20">
        <f t="shared" si="1"/>
        <v>4.6000000000000005</v>
      </c>
      <c r="R36" s="20">
        <f t="shared" si="2"/>
        <v>4.6000000000000005</v>
      </c>
      <c r="S36" s="20">
        <f t="shared" si="3"/>
        <v>0</v>
      </c>
      <c r="T36" s="20">
        <f t="shared" si="4"/>
        <v>0</v>
      </c>
      <c r="U36" s="20">
        <f t="shared" si="5"/>
        <v>0</v>
      </c>
      <c r="V36" s="20"/>
      <c r="W36">
        <f>IF(ISNA(VLOOKUP(I36,Матер!$A$2:$C$85,3,0)),0,VLOOKUP(I36,Матер!$A$2:$C$85,3,0))</f>
        <v>284.64</v>
      </c>
      <c r="X36"/>
      <c r="Y36" s="20"/>
      <c r="AA36" s="11">
        <f>+Z36*D36</f>
        <v>0</v>
      </c>
    </row>
    <row r="37" spans="1:27" s="11" customFormat="1" ht="25.5">
      <c r="A37" s="8"/>
      <c r="B37" s="8"/>
      <c r="C37" s="8"/>
      <c r="D37" s="8"/>
      <c r="E37" s="151"/>
      <c r="F37" s="151"/>
      <c r="G37" s="151"/>
      <c r="H37" s="151"/>
      <c r="I37" s="169" t="s">
        <v>92</v>
      </c>
      <c r="J37" s="8" t="str">
        <f>IF(ISNA(VLOOKUP(I37,Матер!$A$2:$C$85,2,0)),0,VLOOKUP(I37,Матер!$A$2:$C$85,2,0))</f>
        <v>кг</v>
      </c>
      <c r="K37" s="12">
        <f>+D30*8</f>
        <v>40</v>
      </c>
      <c r="L37" s="8" t="s">
        <v>142</v>
      </c>
      <c r="M37" s="20"/>
      <c r="N37" s="20">
        <v>3</v>
      </c>
      <c r="O37" s="149">
        <v>1</v>
      </c>
      <c r="P37" s="20"/>
      <c r="Q37" s="20">
        <f t="shared" si="1"/>
        <v>40</v>
      </c>
      <c r="R37" s="20">
        <f>IF(N37=$R$12,Q37,0)</f>
        <v>0</v>
      </c>
      <c r="S37" s="20">
        <f t="shared" si="3"/>
        <v>0</v>
      </c>
      <c r="T37" s="20">
        <f>IF(N37=$T$12,Q37,0)</f>
        <v>40</v>
      </c>
      <c r="U37" s="20">
        <f t="shared" si="5"/>
        <v>0</v>
      </c>
      <c r="V37" s="143" t="s">
        <v>178</v>
      </c>
      <c r="W37">
        <f>IF(ISNA(VLOOKUP(I37,Матер!$A$2:$C$85,3,0)),0,VLOOKUP(I37,Матер!$A$2:$C$85,3,0))</f>
        <v>80</v>
      </c>
      <c r="X37" t="e">
        <f>SUM(#REF!)</f>
        <v>#REF!</v>
      </c>
      <c r="Y37" s="20"/>
    </row>
    <row r="38" spans="1:27" s="11" customFormat="1">
      <c r="A38" s="8"/>
      <c r="B38" s="8"/>
      <c r="C38" s="8"/>
      <c r="D38" s="8"/>
      <c r="E38" s="23"/>
      <c r="F38" s="23"/>
      <c r="G38" s="8"/>
      <c r="H38" s="8"/>
      <c r="I38" s="169" t="s">
        <v>174</v>
      </c>
      <c r="J38" s="8" t="s">
        <v>16</v>
      </c>
      <c r="K38" s="12">
        <f>D30*0.4</f>
        <v>2</v>
      </c>
      <c r="L38" s="8" t="s">
        <v>142</v>
      </c>
      <c r="M38" s="20"/>
      <c r="N38" s="20">
        <v>3</v>
      </c>
      <c r="O38" s="149">
        <v>1</v>
      </c>
      <c r="P38" s="20"/>
      <c r="Q38" s="20">
        <f t="shared" si="1"/>
        <v>2</v>
      </c>
      <c r="R38" s="20">
        <f t="shared" si="2"/>
        <v>0</v>
      </c>
      <c r="S38" s="20">
        <f t="shared" si="3"/>
        <v>0</v>
      </c>
      <c r="T38" s="20">
        <f t="shared" si="4"/>
        <v>2</v>
      </c>
      <c r="U38" s="20">
        <f t="shared" si="5"/>
        <v>0</v>
      </c>
      <c r="V38" s="143" t="s">
        <v>178</v>
      </c>
      <c r="W38"/>
      <c r="X38"/>
      <c r="Y38" s="20"/>
    </row>
    <row r="39" spans="1:27" s="11" customFormat="1">
      <c r="A39" s="8"/>
      <c r="B39" s="8"/>
      <c r="C39" s="8"/>
      <c r="D39" s="8"/>
      <c r="E39" s="23"/>
      <c r="F39" s="23"/>
      <c r="G39" s="8"/>
      <c r="H39" s="8"/>
      <c r="I39" s="169" t="s">
        <v>46</v>
      </c>
      <c r="J39" s="8" t="s">
        <v>16</v>
      </c>
      <c r="K39" s="171">
        <f>D30*9.5*0.257</f>
        <v>12.2075</v>
      </c>
      <c r="L39" s="8" t="s">
        <v>142</v>
      </c>
      <c r="M39" s="20"/>
      <c r="N39" s="20">
        <v>1</v>
      </c>
      <c r="O39" s="20">
        <v>1</v>
      </c>
      <c r="P39" s="20"/>
      <c r="Q39" s="77">
        <f>O39*K39</f>
        <v>12.2075</v>
      </c>
      <c r="R39" s="77">
        <f>IF(N39=$R$12,Q39,0)</f>
        <v>12.2075</v>
      </c>
      <c r="S39" s="20">
        <f t="shared" si="3"/>
        <v>0</v>
      </c>
      <c r="T39" s="20">
        <f t="shared" si="4"/>
        <v>0</v>
      </c>
      <c r="U39" s="20">
        <f t="shared" si="5"/>
        <v>0</v>
      </c>
      <c r="V39" s="20"/>
      <c r="W39"/>
      <c r="X39"/>
      <c r="Y39" s="20"/>
    </row>
    <row r="40" spans="1:27" s="11" customFormat="1">
      <c r="A40" s="8"/>
      <c r="B40" s="8"/>
      <c r="C40" s="8"/>
      <c r="D40" s="8"/>
      <c r="E40" s="23"/>
      <c r="F40" s="23"/>
      <c r="G40" s="8"/>
      <c r="H40" s="8"/>
      <c r="I40" s="169" t="s">
        <v>49</v>
      </c>
      <c r="J40" s="8" t="s">
        <v>16</v>
      </c>
      <c r="K40" s="171">
        <f>D30*3*1.192</f>
        <v>17.88</v>
      </c>
      <c r="L40" s="8" t="s">
        <v>142</v>
      </c>
      <c r="M40" s="20"/>
      <c r="N40" s="20">
        <v>1</v>
      </c>
      <c r="O40" s="20">
        <v>1</v>
      </c>
      <c r="P40" s="20"/>
      <c r="Q40" s="77">
        <f>O40*K40</f>
        <v>17.88</v>
      </c>
      <c r="R40" s="77">
        <f t="shared" si="2"/>
        <v>17.88</v>
      </c>
      <c r="S40" s="20">
        <f t="shared" si="3"/>
        <v>0</v>
      </c>
      <c r="T40" s="20">
        <f t="shared" si="4"/>
        <v>0</v>
      </c>
      <c r="U40" s="20">
        <f t="shared" si="5"/>
        <v>0</v>
      </c>
      <c r="V40" s="20"/>
      <c r="W40"/>
      <c r="X40"/>
      <c r="Y40" s="20"/>
    </row>
    <row r="41" spans="1:27" s="11" customFormat="1">
      <c r="A41" s="8"/>
      <c r="B41" s="8"/>
      <c r="C41" s="8"/>
      <c r="D41" s="8"/>
      <c r="E41" s="23"/>
      <c r="F41" s="23"/>
      <c r="G41" s="8"/>
      <c r="H41" s="8"/>
      <c r="I41" s="169" t="s">
        <v>45</v>
      </c>
      <c r="J41" s="8" t="str">
        <f>IF(ISNA(VLOOKUP(I41,Матер!$A$2:$C$85,2,0)),0,VLOOKUP(I41,Матер!$A$2:$C$85,2,0))</f>
        <v>шт</v>
      </c>
      <c r="K41" s="21">
        <f>5*D30</f>
        <v>25</v>
      </c>
      <c r="L41" s="8" t="s">
        <v>142</v>
      </c>
      <c r="M41" s="20"/>
      <c r="N41" s="20">
        <v>1</v>
      </c>
      <c r="O41" s="20">
        <v>0.42</v>
      </c>
      <c r="P41" s="20"/>
      <c r="Q41" s="20">
        <f t="shared" ref="Q41:Q48" si="6">O41*K41</f>
        <v>10.5</v>
      </c>
      <c r="R41" s="20">
        <f t="shared" si="2"/>
        <v>10.5</v>
      </c>
      <c r="S41" s="20">
        <f t="shared" si="3"/>
        <v>0</v>
      </c>
      <c r="T41" s="20">
        <f t="shared" si="4"/>
        <v>0</v>
      </c>
      <c r="U41" s="20">
        <f t="shared" si="5"/>
        <v>0</v>
      </c>
      <c r="V41" s="20"/>
      <c r="W41"/>
      <c r="X41"/>
      <c r="Y41" s="20"/>
    </row>
    <row r="42" spans="1:27" s="11" customFormat="1">
      <c r="A42" s="8"/>
      <c r="B42" s="8"/>
      <c r="C42" s="8"/>
      <c r="D42" s="8"/>
      <c r="E42" s="23"/>
      <c r="F42" s="23"/>
      <c r="G42" s="8"/>
      <c r="H42" s="8"/>
      <c r="I42" s="169" t="s">
        <v>94</v>
      </c>
      <c r="J42" s="8" t="str">
        <f>IF(ISNA(VLOOKUP(I42,Матер!$A$2:$C$85,2,0)),0,VLOOKUP(I42,Матер!$A$2:$C$85,2,0))</f>
        <v>шт</v>
      </c>
      <c r="K42" s="21">
        <f>D30</f>
        <v>5</v>
      </c>
      <c r="L42" s="8" t="s">
        <v>142</v>
      </c>
      <c r="M42" s="20"/>
      <c r="N42" s="20">
        <v>1</v>
      </c>
      <c r="O42" s="20">
        <v>0.19</v>
      </c>
      <c r="P42" s="20"/>
      <c r="Q42" s="20">
        <f t="shared" si="6"/>
        <v>0.95</v>
      </c>
      <c r="R42" s="20">
        <f t="shared" si="2"/>
        <v>0.95</v>
      </c>
      <c r="S42" s="20">
        <f t="shared" si="3"/>
        <v>0</v>
      </c>
      <c r="T42" s="20">
        <f t="shared" si="4"/>
        <v>0</v>
      </c>
      <c r="U42" s="20">
        <f t="shared" si="5"/>
        <v>0</v>
      </c>
      <c r="V42" s="20"/>
      <c r="W42"/>
      <c r="X42"/>
      <c r="Y42" s="20"/>
    </row>
    <row r="43" spans="1:27" s="11" customFormat="1" ht="63.75">
      <c r="A43" s="12">
        <v>10</v>
      </c>
      <c r="B43" s="170" t="s">
        <v>210</v>
      </c>
      <c r="C43" s="12" t="s">
        <v>15</v>
      </c>
      <c r="D43" s="8">
        <f>D19</f>
        <v>16</v>
      </c>
      <c r="E43" s="23"/>
      <c r="F43" s="23"/>
      <c r="G43" s="8"/>
      <c r="H43" s="8"/>
      <c r="I43" s="169" t="s">
        <v>84</v>
      </c>
      <c r="J43" s="8" t="str">
        <f>IF(ISNA(VLOOKUP(I43,Матер!$A$2:$C$85,2,0)),0,VLOOKUP(I43,Матер!$A$2:$C$85,2,0))</f>
        <v>шт</v>
      </c>
      <c r="K43" s="12">
        <f>+D43</f>
        <v>16</v>
      </c>
      <c r="L43" s="8" t="s">
        <v>141</v>
      </c>
      <c r="M43" s="20"/>
      <c r="N43" s="125">
        <v>1</v>
      </c>
      <c r="O43" s="125">
        <v>1180</v>
      </c>
      <c r="P43" s="125"/>
      <c r="Q43" s="125">
        <f t="shared" si="6"/>
        <v>18880</v>
      </c>
      <c r="R43" s="125">
        <f t="shared" si="2"/>
        <v>18880</v>
      </c>
      <c r="S43" s="125">
        <f t="shared" si="3"/>
        <v>0</v>
      </c>
      <c r="T43" s="125">
        <f t="shared" si="4"/>
        <v>0</v>
      </c>
      <c r="U43" s="125">
        <f t="shared" si="5"/>
        <v>0</v>
      </c>
      <c r="V43" s="20"/>
      <c r="W43">
        <f>IF(ISNA(VLOOKUP(I43,Матер!$A$2:$C$85,3,0)),0,VLOOKUP(I43,Матер!$A$2:$C$85,3,0))</f>
        <v>7800</v>
      </c>
      <c r="X43"/>
      <c r="Y43" s="71" t="s">
        <v>77</v>
      </c>
      <c r="Z43" s="17">
        <v>1591</v>
      </c>
      <c r="AA43" s="11">
        <f>+Z43*D43/1000</f>
        <v>25.456</v>
      </c>
    </row>
    <row r="44" spans="1:27" s="11" customFormat="1">
      <c r="A44" s="12"/>
      <c r="B44" s="35"/>
      <c r="C44" s="12"/>
      <c r="D44" s="12"/>
      <c r="E44" s="23"/>
      <c r="F44" s="23"/>
      <c r="G44" s="8"/>
      <c r="H44" s="8"/>
      <c r="I44" s="169" t="s">
        <v>85</v>
      </c>
      <c r="J44" s="8" t="str">
        <f>IF(ISNA(VLOOKUP(I44,Матер!$A$2:$C$85,2,0)),0,VLOOKUP(I44,Матер!$A$2:$C$85,2,0))</f>
        <v>шт</v>
      </c>
      <c r="K44" s="12">
        <f>+D43</f>
        <v>16</v>
      </c>
      <c r="L44" s="8" t="s">
        <v>142</v>
      </c>
      <c r="M44" s="20"/>
      <c r="N44" s="20">
        <v>1</v>
      </c>
      <c r="O44" s="20">
        <v>0.65</v>
      </c>
      <c r="P44" s="20"/>
      <c r="Q44" s="20">
        <f t="shared" si="6"/>
        <v>10.4</v>
      </c>
      <c r="R44" s="20">
        <f t="shared" si="2"/>
        <v>10.4</v>
      </c>
      <c r="S44" s="20">
        <f t="shared" si="3"/>
        <v>0</v>
      </c>
      <c r="T44" s="20">
        <f t="shared" si="4"/>
        <v>0</v>
      </c>
      <c r="U44" s="20">
        <f t="shared" si="5"/>
        <v>0</v>
      </c>
      <c r="V44" s="20"/>
      <c r="W44">
        <f>IF(ISNA(VLOOKUP(I44,Матер!$A$2:$C$85,3,0)),0,VLOOKUP(I44,Матер!$A$2:$C$85,3,0))</f>
        <v>186.75</v>
      </c>
      <c r="X44"/>
      <c r="Y44" s="20"/>
      <c r="AA44" s="11">
        <f>+Z44*D44</f>
        <v>0</v>
      </c>
    </row>
    <row r="45" spans="1:27" s="11" customFormat="1">
      <c r="A45" s="12"/>
      <c r="B45" s="35"/>
      <c r="C45" s="12"/>
      <c r="D45" s="12"/>
      <c r="E45" s="23"/>
      <c r="F45" s="23"/>
      <c r="G45" s="8"/>
      <c r="H45" s="8"/>
      <c r="I45" s="169" t="s">
        <v>74</v>
      </c>
      <c r="J45" s="8" t="s">
        <v>171</v>
      </c>
      <c r="K45" s="8">
        <f>(D43*3/50*100)/100</f>
        <v>0.96</v>
      </c>
      <c r="L45" s="8" t="s">
        <v>142</v>
      </c>
      <c r="M45" s="20"/>
      <c r="N45" s="20">
        <v>1</v>
      </c>
      <c r="O45" s="20">
        <v>3.9</v>
      </c>
      <c r="P45" s="20"/>
      <c r="Q45" s="20">
        <f t="shared" si="6"/>
        <v>3.7439999999999998</v>
      </c>
      <c r="R45" s="20">
        <f t="shared" si="2"/>
        <v>3.7439999999999998</v>
      </c>
      <c r="S45" s="20">
        <f t="shared" si="3"/>
        <v>0</v>
      </c>
      <c r="T45" s="20">
        <f t="shared" si="4"/>
        <v>0</v>
      </c>
      <c r="U45" s="20">
        <f t="shared" si="5"/>
        <v>0</v>
      </c>
      <c r="V45" s="20"/>
      <c r="W45">
        <f>IF(ISNA(VLOOKUP(I45,Матер!$A$2:$C$85,3,0)),0,VLOOKUP(I45,Матер!$A$2:$C$85,3,0))</f>
        <v>1500</v>
      </c>
      <c r="X45"/>
      <c r="Y45" s="20"/>
    </row>
    <row r="46" spans="1:27" s="11" customFormat="1">
      <c r="A46" s="12"/>
      <c r="B46" s="35"/>
      <c r="C46" s="12"/>
      <c r="D46" s="12"/>
      <c r="E46" s="23"/>
      <c r="F46" s="23"/>
      <c r="G46" s="8"/>
      <c r="H46" s="8"/>
      <c r="I46" s="169" t="s">
        <v>72</v>
      </c>
      <c r="J46" s="8" t="str">
        <f>IF(ISNA(VLOOKUP(I46,Матер!$A$2:$C$85,2,0)),0,VLOOKUP(I46,Матер!$A$2:$C$85,2,0))</f>
        <v>упак/100шт</v>
      </c>
      <c r="K46" s="8">
        <f>(D43*2)/100</f>
        <v>0.32</v>
      </c>
      <c r="L46" s="8" t="s">
        <v>142</v>
      </c>
      <c r="M46" s="20"/>
      <c r="N46" s="20">
        <v>1</v>
      </c>
      <c r="O46" s="20">
        <v>1</v>
      </c>
      <c r="P46" s="20"/>
      <c r="Q46" s="20">
        <f t="shared" si="6"/>
        <v>0.32</v>
      </c>
      <c r="R46" s="20">
        <f t="shared" si="2"/>
        <v>0.32</v>
      </c>
      <c r="S46" s="20">
        <f t="shared" si="3"/>
        <v>0</v>
      </c>
      <c r="T46" s="20">
        <f t="shared" si="4"/>
        <v>0</v>
      </c>
      <c r="U46" s="20">
        <f t="shared" si="5"/>
        <v>0</v>
      </c>
      <c r="V46" s="20"/>
      <c r="W46">
        <f>IF(ISNA(VLOOKUP(I46,Матер!$A$2:$C$85,3,0)),0,VLOOKUP(I46,Матер!$A$2:$C$85,3,0))</f>
        <v>600</v>
      </c>
      <c r="X46"/>
      <c r="Y46" s="20"/>
      <c r="AA46" s="11">
        <f>+Z46*D46</f>
        <v>0</v>
      </c>
    </row>
    <row r="47" spans="1:27" s="11" customFormat="1">
      <c r="A47" s="12"/>
      <c r="B47" s="35"/>
      <c r="C47" s="12"/>
      <c r="D47" s="12"/>
      <c r="E47" s="23"/>
      <c r="F47" s="23"/>
      <c r="G47" s="8"/>
      <c r="H47" s="8"/>
      <c r="I47" s="169" t="s">
        <v>70</v>
      </c>
      <c r="J47" s="8" t="str">
        <f>IF(ISNA(VLOOKUP(I47,Матер!$A$2:$C$85,2,0)),0,VLOOKUP(I47,Матер!$A$2:$C$85,2,0))</f>
        <v>шт</v>
      </c>
      <c r="K47" s="12">
        <f>+D43*4</f>
        <v>64</v>
      </c>
      <c r="L47" s="8" t="s">
        <v>142</v>
      </c>
      <c r="M47" s="20"/>
      <c r="N47" s="20">
        <v>1</v>
      </c>
      <c r="O47" s="20">
        <v>1.4999999999999999E-2</v>
      </c>
      <c r="P47" s="20"/>
      <c r="Q47" s="20">
        <f t="shared" si="6"/>
        <v>0.96</v>
      </c>
      <c r="R47" s="20">
        <f t="shared" si="2"/>
        <v>0.96</v>
      </c>
      <c r="S47" s="20">
        <f t="shared" si="3"/>
        <v>0</v>
      </c>
      <c r="T47" s="20">
        <f t="shared" si="4"/>
        <v>0</v>
      </c>
      <c r="U47" s="20">
        <f t="shared" si="5"/>
        <v>0</v>
      </c>
      <c r="V47" s="20"/>
      <c r="W47">
        <f>IF(ISNA(VLOOKUP(I47,Матер!$A$2:$C$85,3,0)),0,VLOOKUP(I47,Матер!$A$2:$C$85,3,0))</f>
        <v>3.5169999999999999</v>
      </c>
      <c r="X47"/>
      <c r="Y47" s="20"/>
      <c r="AA47" s="11">
        <f>+Z47*D47</f>
        <v>0</v>
      </c>
    </row>
    <row r="48" spans="1:27" s="11" customFormat="1">
      <c r="A48" s="12"/>
      <c r="B48" s="35"/>
      <c r="C48" s="12"/>
      <c r="D48" s="12"/>
      <c r="E48" s="23"/>
      <c r="F48" s="23"/>
      <c r="G48" s="8"/>
      <c r="H48" s="8"/>
      <c r="I48" s="169" t="s">
        <v>174</v>
      </c>
      <c r="J48" s="8" t="s">
        <v>16</v>
      </c>
      <c r="K48" s="12">
        <f>+D43*0.4</f>
        <v>6.4</v>
      </c>
      <c r="L48" s="8" t="s">
        <v>142</v>
      </c>
      <c r="M48" s="20"/>
      <c r="N48" s="20">
        <v>3</v>
      </c>
      <c r="O48" s="149">
        <v>1</v>
      </c>
      <c r="P48" s="20"/>
      <c r="Q48" s="20">
        <f t="shared" si="6"/>
        <v>6.4</v>
      </c>
      <c r="R48" s="20">
        <f t="shared" si="2"/>
        <v>0</v>
      </c>
      <c r="S48" s="20">
        <f t="shared" si="3"/>
        <v>0</v>
      </c>
      <c r="T48" s="20">
        <f t="shared" si="4"/>
        <v>6.4</v>
      </c>
      <c r="U48" s="20">
        <f t="shared" si="5"/>
        <v>0</v>
      </c>
      <c r="V48" s="143" t="s">
        <v>178</v>
      </c>
      <c r="W48">
        <f>IF(ISNA(VLOOKUP(I48,Матер!$A$2:$C$85,3,0)),0,VLOOKUP(I48,Матер!$A$2:$C$85,3,0))</f>
        <v>0</v>
      </c>
      <c r="X48"/>
      <c r="Y48" s="20"/>
      <c r="AA48" s="11">
        <f>+Z48*D48</f>
        <v>0</v>
      </c>
    </row>
    <row r="49" spans="1:27" s="11" customFormat="1">
      <c r="A49" s="12"/>
      <c r="B49" s="35"/>
      <c r="C49" s="12"/>
      <c r="D49" s="12"/>
      <c r="E49" s="23"/>
      <c r="F49" s="23"/>
      <c r="G49" s="8"/>
      <c r="H49" s="8"/>
      <c r="I49" s="169" t="s">
        <v>46</v>
      </c>
      <c r="J49" s="8" t="s">
        <v>16</v>
      </c>
      <c r="K49" s="171">
        <f>D43*9.5*0.257</f>
        <v>39.064</v>
      </c>
      <c r="L49" s="8" t="s">
        <v>142</v>
      </c>
      <c r="M49" s="20"/>
      <c r="N49" s="20">
        <v>1</v>
      </c>
      <c r="O49" s="20">
        <v>1</v>
      </c>
      <c r="P49" s="20"/>
      <c r="Q49" s="77">
        <f>O49*K49</f>
        <v>39.064</v>
      </c>
      <c r="R49" s="77">
        <f t="shared" si="2"/>
        <v>39.064</v>
      </c>
      <c r="S49" s="20">
        <f t="shared" si="3"/>
        <v>0</v>
      </c>
      <c r="T49" s="20">
        <f t="shared" si="4"/>
        <v>0</v>
      </c>
      <c r="U49" s="20">
        <f t="shared" si="5"/>
        <v>0</v>
      </c>
      <c r="V49" s="20"/>
      <c r="W49"/>
      <c r="X49"/>
      <c r="Y49" s="20"/>
    </row>
    <row r="50" spans="1:27" s="11" customFormat="1">
      <c r="A50" s="12"/>
      <c r="B50" s="35"/>
      <c r="C50" s="12"/>
      <c r="D50" s="12"/>
      <c r="E50" s="23"/>
      <c r="F50" s="23"/>
      <c r="G50" s="8"/>
      <c r="H50" s="8"/>
      <c r="I50" s="169" t="s">
        <v>49</v>
      </c>
      <c r="J50" s="8" t="s">
        <v>16</v>
      </c>
      <c r="K50" s="171">
        <f>D43*3*1.192</f>
        <v>57.215999999999994</v>
      </c>
      <c r="L50" s="8" t="s">
        <v>142</v>
      </c>
      <c r="M50" s="20"/>
      <c r="N50" s="20">
        <v>1</v>
      </c>
      <c r="O50" s="20">
        <v>1</v>
      </c>
      <c r="P50" s="20"/>
      <c r="Q50" s="77">
        <f>O50*K50</f>
        <v>57.215999999999994</v>
      </c>
      <c r="R50" s="77">
        <f t="shared" si="2"/>
        <v>57.215999999999994</v>
      </c>
      <c r="S50" s="20">
        <f t="shared" si="3"/>
        <v>0</v>
      </c>
      <c r="T50" s="20">
        <f t="shared" si="4"/>
        <v>0</v>
      </c>
      <c r="U50" s="20">
        <f t="shared" si="5"/>
        <v>0</v>
      </c>
      <c r="V50" s="20"/>
      <c r="W50"/>
      <c r="X50"/>
      <c r="Y50" s="20"/>
    </row>
    <row r="51" spans="1:27" s="11" customFormat="1">
      <c r="A51" s="12"/>
      <c r="B51" s="35"/>
      <c r="C51" s="12"/>
      <c r="D51" s="12"/>
      <c r="E51" s="23"/>
      <c r="F51" s="23"/>
      <c r="G51" s="8"/>
      <c r="H51" s="8"/>
      <c r="I51" s="169" t="s">
        <v>45</v>
      </c>
      <c r="J51" s="8" t="str">
        <f>IF(ISNA(VLOOKUP(I51,Матер!$A$2:$C$85,2,0)),0,VLOOKUP(I51,Матер!$A$2:$C$85,2,0))</f>
        <v>шт</v>
      </c>
      <c r="K51" s="21">
        <f>5*D43</f>
        <v>80</v>
      </c>
      <c r="L51" s="8" t="s">
        <v>142</v>
      </c>
      <c r="M51" s="20"/>
      <c r="N51" s="20">
        <v>1</v>
      </c>
      <c r="O51" s="20">
        <v>0.42</v>
      </c>
      <c r="P51" s="20"/>
      <c r="Q51" s="20">
        <f>O51*K51</f>
        <v>33.6</v>
      </c>
      <c r="R51" s="20">
        <f t="shared" si="2"/>
        <v>33.6</v>
      </c>
      <c r="S51" s="20">
        <f t="shared" si="3"/>
        <v>0</v>
      </c>
      <c r="T51" s="20">
        <f t="shared" si="4"/>
        <v>0</v>
      </c>
      <c r="U51" s="20">
        <f t="shared" si="5"/>
        <v>0</v>
      </c>
      <c r="V51" s="20"/>
      <c r="W51"/>
      <c r="X51"/>
      <c r="Y51" s="20"/>
    </row>
    <row r="52" spans="1:27" s="11" customFormat="1">
      <c r="A52" s="12"/>
      <c r="B52" s="35"/>
      <c r="C52" s="12"/>
      <c r="D52" s="12"/>
      <c r="E52" s="23"/>
      <c r="F52" s="23"/>
      <c r="G52" s="8"/>
      <c r="H52" s="8"/>
      <c r="I52" s="169" t="s">
        <v>94</v>
      </c>
      <c r="J52" s="8" t="str">
        <f>IF(ISNA(VLOOKUP(I52,Матер!$A$2:$C$85,2,0)),0,VLOOKUP(I52,Матер!$A$2:$C$85,2,0))</f>
        <v>шт</v>
      </c>
      <c r="K52" s="21">
        <f>D43</f>
        <v>16</v>
      </c>
      <c r="L52" s="8" t="s">
        <v>142</v>
      </c>
      <c r="M52" s="20"/>
      <c r="N52" s="20">
        <v>1</v>
      </c>
      <c r="O52" s="20">
        <v>0.19</v>
      </c>
      <c r="P52" s="20"/>
      <c r="Q52" s="20">
        <f>O52*K52</f>
        <v>3.04</v>
      </c>
      <c r="R52" s="20">
        <f t="shared" si="2"/>
        <v>3.04</v>
      </c>
      <c r="S52" s="20">
        <f t="shared" si="3"/>
        <v>0</v>
      </c>
      <c r="T52" s="20">
        <f t="shared" si="4"/>
        <v>0</v>
      </c>
      <c r="U52" s="20">
        <f t="shared" si="5"/>
        <v>0</v>
      </c>
      <c r="V52" s="20"/>
      <c r="W52"/>
      <c r="X52"/>
      <c r="Y52" s="20"/>
    </row>
    <row r="53" spans="1:27" s="11" customFormat="1" ht="25.5">
      <c r="A53" s="12"/>
      <c r="B53" s="35"/>
      <c r="C53" s="12"/>
      <c r="D53" s="12"/>
      <c r="E53" s="23"/>
      <c r="F53" s="23"/>
      <c r="G53" s="8"/>
      <c r="H53" s="8"/>
      <c r="I53" s="169" t="s">
        <v>92</v>
      </c>
      <c r="J53" s="8" t="str">
        <f>IF(ISNA(VLOOKUP(I53,Матер!$A$2:$C$85,2,0)),0,VLOOKUP(I53,Матер!$A$2:$C$85,2,0))</f>
        <v>кг</v>
      </c>
      <c r="K53" s="12">
        <f>+D43*4</f>
        <v>64</v>
      </c>
      <c r="L53" s="8" t="s">
        <v>142</v>
      </c>
      <c r="M53" s="20"/>
      <c r="N53" s="20">
        <v>3</v>
      </c>
      <c r="O53" s="149">
        <v>1</v>
      </c>
      <c r="P53" s="20"/>
      <c r="Q53" s="20">
        <f>O53*K53</f>
        <v>64</v>
      </c>
      <c r="R53" s="20">
        <f t="shared" si="2"/>
        <v>0</v>
      </c>
      <c r="S53" s="20">
        <f t="shared" si="3"/>
        <v>0</v>
      </c>
      <c r="T53" s="20">
        <f t="shared" si="4"/>
        <v>64</v>
      </c>
      <c r="U53" s="20">
        <f t="shared" si="5"/>
        <v>0</v>
      </c>
      <c r="V53" s="143" t="s">
        <v>178</v>
      </c>
      <c r="W53"/>
      <c r="X53"/>
      <c r="Y53" s="20"/>
    </row>
    <row r="54" spans="1:27" s="11" customFormat="1" ht="25.5" hidden="1" outlineLevel="1">
      <c r="A54" s="12">
        <v>10</v>
      </c>
      <c r="B54" s="19" t="s">
        <v>96</v>
      </c>
      <c r="C54" s="12" t="s">
        <v>15</v>
      </c>
      <c r="D54" s="8">
        <v>0</v>
      </c>
      <c r="E54" s="23"/>
      <c r="F54" s="23"/>
      <c r="G54" s="8"/>
      <c r="H54" s="8"/>
      <c r="I54" s="169" t="s">
        <v>84</v>
      </c>
      <c r="J54" s="8" t="str">
        <f>IF(ISNA(VLOOKUP(I54,Матер!$A$2:$C$85,2,0)),0,VLOOKUP(I54,Матер!$A$2:$C$85,2,0))</f>
        <v>шт</v>
      </c>
      <c r="K54" s="12">
        <f>+D54</f>
        <v>0</v>
      </c>
      <c r="L54" s="8"/>
      <c r="M54" s="20"/>
      <c r="N54" s="20"/>
      <c r="O54" s="20"/>
      <c r="P54" s="20"/>
      <c r="Q54" s="20">
        <f t="shared" ref="Q54:Q78" si="7">O54*K54</f>
        <v>0</v>
      </c>
      <c r="R54" s="20">
        <f t="shared" si="2"/>
        <v>0</v>
      </c>
      <c r="S54" s="20">
        <f t="shared" si="3"/>
        <v>0</v>
      </c>
      <c r="T54" s="20">
        <f t="shared" si="4"/>
        <v>0</v>
      </c>
      <c r="U54" s="20">
        <f t="shared" si="5"/>
        <v>0</v>
      </c>
      <c r="V54" s="20"/>
      <c r="W54">
        <f>IF(ISNA(VLOOKUP(I54,Матер!$A$2:$C$85,3,0)),0,VLOOKUP(I54,Матер!$A$2:$C$85,3,0))</f>
        <v>7800</v>
      </c>
      <c r="X54"/>
      <c r="Y54" s="71" t="s">
        <v>77</v>
      </c>
      <c r="Z54" s="17">
        <v>1591</v>
      </c>
      <c r="AA54" s="11">
        <f>+Z54*D54/1000</f>
        <v>0</v>
      </c>
    </row>
    <row r="55" spans="1:27" s="11" customFormat="1" hidden="1" outlineLevel="1">
      <c r="A55" s="12"/>
      <c r="B55" s="35"/>
      <c r="C55" s="12"/>
      <c r="D55" s="12"/>
      <c r="E55" s="23"/>
      <c r="F55" s="23"/>
      <c r="G55" s="8"/>
      <c r="H55" s="8"/>
      <c r="I55" s="169" t="s">
        <v>86</v>
      </c>
      <c r="J55" s="8" t="str">
        <f>IF(ISNA(VLOOKUP(I55,Матер!$A$2:$C$85,2,0)),0,VLOOKUP(I55,Матер!$A$2:$C$85,2,0))</f>
        <v>шт</v>
      </c>
      <c r="K55" s="12">
        <f>+D54</f>
        <v>0</v>
      </c>
      <c r="L55" s="8"/>
      <c r="M55" s="20"/>
      <c r="N55" s="20"/>
      <c r="O55" s="20"/>
      <c r="P55" s="20"/>
      <c r="Q55" s="20">
        <f t="shared" si="7"/>
        <v>0</v>
      </c>
      <c r="R55" s="20">
        <f t="shared" si="2"/>
        <v>0</v>
      </c>
      <c r="S55" s="20">
        <f t="shared" si="3"/>
        <v>0</v>
      </c>
      <c r="T55" s="20">
        <f t="shared" si="4"/>
        <v>0</v>
      </c>
      <c r="U55" s="20">
        <f t="shared" si="5"/>
        <v>0</v>
      </c>
      <c r="V55" s="20"/>
      <c r="W55">
        <f>IF(ISNA(VLOOKUP(I55,Матер!$A$2:$C$85,3,0)),0,VLOOKUP(I55,Матер!$A$2:$C$85,3,0))</f>
        <v>100</v>
      </c>
      <c r="X55"/>
      <c r="Y55" s="20"/>
      <c r="AA55" s="11">
        <f>+Z55*D55</f>
        <v>0</v>
      </c>
    </row>
    <row r="56" spans="1:27" s="11" customFormat="1" hidden="1" outlineLevel="1">
      <c r="A56" s="12"/>
      <c r="B56" s="35"/>
      <c r="C56" s="12"/>
      <c r="D56" s="12"/>
      <c r="E56" s="23"/>
      <c r="F56" s="23"/>
      <c r="G56" s="8"/>
      <c r="H56" s="8"/>
      <c r="I56" s="169" t="s">
        <v>38</v>
      </c>
      <c r="J56" s="8" t="str">
        <f>IF(ISNA(VLOOKUP(I56,Матер!$A$2:$C$85,2,0)),0,VLOOKUP(I56,Матер!$A$2:$C$85,2,0))</f>
        <v>шт</v>
      </c>
      <c r="K56" s="12">
        <f>+D54</f>
        <v>0</v>
      </c>
      <c r="L56" s="8"/>
      <c r="M56" s="20"/>
      <c r="N56" s="20"/>
      <c r="O56" s="20"/>
      <c r="P56" s="20"/>
      <c r="Q56" s="20">
        <f t="shared" si="7"/>
        <v>0</v>
      </c>
      <c r="R56" s="20">
        <f t="shared" si="2"/>
        <v>0</v>
      </c>
      <c r="S56" s="20">
        <f t="shared" si="3"/>
        <v>0</v>
      </c>
      <c r="T56" s="20">
        <f t="shared" si="4"/>
        <v>0</v>
      </c>
      <c r="U56" s="20">
        <f t="shared" si="5"/>
        <v>0</v>
      </c>
      <c r="V56" s="20"/>
      <c r="W56">
        <f>IF(ISNA(VLOOKUP(I56,Матер!$A$2:$C$85,3,0)),0,VLOOKUP(I56,Матер!$A$2:$C$85,3,0))</f>
        <v>66.81</v>
      </c>
      <c r="X56"/>
      <c r="Y56" s="20"/>
    </row>
    <row r="57" spans="1:27" s="11" customFormat="1" hidden="1" outlineLevel="1">
      <c r="A57" s="12"/>
      <c r="B57" s="35"/>
      <c r="C57" s="12"/>
      <c r="D57" s="12"/>
      <c r="E57" s="23"/>
      <c r="F57" s="23"/>
      <c r="G57" s="8"/>
      <c r="H57" s="8"/>
      <c r="I57" s="169" t="s">
        <v>74</v>
      </c>
      <c r="J57" s="8" t="str">
        <f>IF(ISNA(VLOOKUP(I57,Матер!$A$2:$C$85,2,0)),0,VLOOKUP(I57,Матер!$A$2:$C$85,2,0))</f>
        <v>упак/50м</v>
      </c>
      <c r="K57" s="8">
        <f>+D54*0.02</f>
        <v>0</v>
      </c>
      <c r="L57" s="8"/>
      <c r="M57" s="20"/>
      <c r="N57" s="20"/>
      <c r="O57" s="20"/>
      <c r="P57" s="20"/>
      <c r="Q57" s="20">
        <f t="shared" si="7"/>
        <v>0</v>
      </c>
      <c r="R57" s="20">
        <f t="shared" si="2"/>
        <v>0</v>
      </c>
      <c r="S57" s="20">
        <f t="shared" si="3"/>
        <v>0</v>
      </c>
      <c r="T57" s="20">
        <f t="shared" si="4"/>
        <v>0</v>
      </c>
      <c r="U57" s="20">
        <f t="shared" si="5"/>
        <v>0</v>
      </c>
      <c r="V57" s="20"/>
      <c r="W57">
        <f>IF(ISNA(VLOOKUP(I57,Матер!$A$2:$C$85,3,0)),0,VLOOKUP(I57,Матер!$A$2:$C$85,3,0))</f>
        <v>1500</v>
      </c>
      <c r="X57"/>
      <c r="Y57" s="20"/>
    </row>
    <row r="58" spans="1:27" s="11" customFormat="1" hidden="1" outlineLevel="1">
      <c r="A58" s="12"/>
      <c r="B58" s="35"/>
      <c r="C58" s="12"/>
      <c r="D58" s="12"/>
      <c r="E58" s="23"/>
      <c r="F58" s="23"/>
      <c r="G58" s="8"/>
      <c r="H58" s="8"/>
      <c r="I58" s="169" t="s">
        <v>72</v>
      </c>
      <c r="J58" s="8" t="str">
        <f>IF(ISNA(VLOOKUP(I58,Матер!$A$2:$C$85,2,0)),0,VLOOKUP(I58,Матер!$A$2:$C$85,2,0))</f>
        <v>упак/100шт</v>
      </c>
      <c r="K58" s="8">
        <f>D54*0.01*2</f>
        <v>0</v>
      </c>
      <c r="L58" s="8" t="s">
        <v>141</v>
      </c>
      <c r="M58" s="20"/>
      <c r="N58" s="20"/>
      <c r="O58" s="20"/>
      <c r="P58" s="20"/>
      <c r="Q58" s="20">
        <f t="shared" si="7"/>
        <v>0</v>
      </c>
      <c r="R58" s="20">
        <f t="shared" si="2"/>
        <v>0</v>
      </c>
      <c r="S58" s="20">
        <f t="shared" si="3"/>
        <v>0</v>
      </c>
      <c r="T58" s="20">
        <f t="shared" si="4"/>
        <v>0</v>
      </c>
      <c r="U58" s="20">
        <f t="shared" si="5"/>
        <v>0</v>
      </c>
      <c r="V58" s="20"/>
      <c r="W58">
        <f>IF(ISNA(VLOOKUP(I58,Матер!$A$2:$C$85,3,0)),0,VLOOKUP(I58,Матер!$A$2:$C$85,3,0))</f>
        <v>600</v>
      </c>
      <c r="X58"/>
      <c r="Y58" s="20"/>
      <c r="AA58" s="11">
        <f>+Z58*D58</f>
        <v>0</v>
      </c>
    </row>
    <row r="59" spans="1:27" s="11" customFormat="1" hidden="1" outlineLevel="1">
      <c r="A59" s="12"/>
      <c r="B59" s="35"/>
      <c r="C59" s="12"/>
      <c r="D59" s="12"/>
      <c r="E59" s="23"/>
      <c r="F59" s="23"/>
      <c r="G59" s="8"/>
      <c r="H59" s="8"/>
      <c r="I59" s="169" t="s">
        <v>70</v>
      </c>
      <c r="J59" s="8" t="str">
        <f>IF(ISNA(VLOOKUP(I59,Матер!$A$2:$C$85,2,0)),0,VLOOKUP(I59,Матер!$A$2:$C$85,2,0))</f>
        <v>шт</v>
      </c>
      <c r="K59" s="12">
        <f>+D54*4</f>
        <v>0</v>
      </c>
      <c r="L59" s="8"/>
      <c r="M59" s="20"/>
      <c r="N59" s="20"/>
      <c r="O59" s="20"/>
      <c r="P59" s="20"/>
      <c r="Q59" s="20">
        <f t="shared" si="7"/>
        <v>0</v>
      </c>
      <c r="R59" s="20">
        <f t="shared" si="2"/>
        <v>0</v>
      </c>
      <c r="S59" s="20">
        <f t="shared" si="3"/>
        <v>0</v>
      </c>
      <c r="T59" s="20">
        <f t="shared" si="4"/>
        <v>0</v>
      </c>
      <c r="U59" s="20">
        <f t="shared" si="5"/>
        <v>0</v>
      </c>
      <c r="V59" s="20"/>
      <c r="W59">
        <f>IF(ISNA(VLOOKUP(I59,Матер!$A$2:$C$85,3,0)),0,VLOOKUP(I59,Матер!$A$2:$C$85,3,0))</f>
        <v>3.5169999999999999</v>
      </c>
      <c r="X59"/>
      <c r="Y59" s="20"/>
      <c r="AA59" s="11">
        <f>+Z59*D59</f>
        <v>0</v>
      </c>
    </row>
    <row r="60" spans="1:27" s="11" customFormat="1" hidden="1" outlineLevel="1">
      <c r="A60" s="12"/>
      <c r="B60" s="35"/>
      <c r="C60" s="12"/>
      <c r="D60" s="12"/>
      <c r="E60" s="23"/>
      <c r="F60" s="23"/>
      <c r="G60" s="8"/>
      <c r="H60" s="8"/>
      <c r="I60" s="169" t="s">
        <v>66</v>
      </c>
      <c r="J60" s="8" t="str">
        <f>IF(ISNA(VLOOKUP(I60,Матер!$A$2:$C$85,2,0)),0,VLOOKUP(I60,Матер!$A$2:$C$85,2,0))</f>
        <v>кг</v>
      </c>
      <c r="K60" s="12">
        <f>+D54*0.3</f>
        <v>0</v>
      </c>
      <c r="L60" s="8"/>
      <c r="M60" s="20"/>
      <c r="N60" s="20"/>
      <c r="O60" s="20"/>
      <c r="P60" s="20"/>
      <c r="Q60" s="20">
        <f t="shared" si="7"/>
        <v>0</v>
      </c>
      <c r="R60" s="20">
        <f t="shared" si="2"/>
        <v>0</v>
      </c>
      <c r="S60" s="20">
        <f t="shared" si="3"/>
        <v>0</v>
      </c>
      <c r="T60" s="20">
        <f t="shared" si="4"/>
        <v>0</v>
      </c>
      <c r="U60" s="20">
        <f t="shared" si="5"/>
        <v>0</v>
      </c>
      <c r="V60" s="20"/>
      <c r="W60">
        <f>IF(ISNA(VLOOKUP(I60,Матер!$A$2:$C$85,3,0)),0,VLOOKUP(I60,Матер!$A$2:$C$85,3,0))</f>
        <v>86.470000000000013</v>
      </c>
      <c r="X60"/>
      <c r="Y60" s="20"/>
      <c r="AA60" s="11">
        <f>+Z60*D60</f>
        <v>0</v>
      </c>
    </row>
    <row r="61" spans="1:27" s="11" customFormat="1" ht="25.5" hidden="1" outlineLevel="1">
      <c r="A61" s="12"/>
      <c r="B61" s="35"/>
      <c r="C61" s="12"/>
      <c r="D61" s="12"/>
      <c r="E61" s="23"/>
      <c r="F61" s="23"/>
      <c r="G61" s="8"/>
      <c r="H61" s="8"/>
      <c r="I61" s="169" t="s">
        <v>92</v>
      </c>
      <c r="J61" s="8" t="str">
        <f>IF(ISNA(VLOOKUP(I61,Матер!$A$2:$C$85,2,0)),0,VLOOKUP(I61,Матер!$A$2:$C$85,2,0))</f>
        <v>кг</v>
      </c>
      <c r="K61" s="12">
        <f>+D54</f>
        <v>0</v>
      </c>
      <c r="L61" s="8"/>
      <c r="M61" s="20"/>
      <c r="N61" s="20"/>
      <c r="O61" s="20"/>
      <c r="P61" s="20"/>
      <c r="Q61" s="20">
        <f t="shared" si="7"/>
        <v>0</v>
      </c>
      <c r="R61" s="20">
        <f t="shared" si="2"/>
        <v>0</v>
      </c>
      <c r="S61" s="20">
        <f t="shared" si="3"/>
        <v>0</v>
      </c>
      <c r="T61" s="20">
        <f t="shared" si="4"/>
        <v>0</v>
      </c>
      <c r="U61" s="20">
        <f t="shared" si="5"/>
        <v>0</v>
      </c>
      <c r="V61" s="20"/>
      <c r="W61">
        <f>IF(ISNA(VLOOKUP(I61,Матер!$A$2:$C$85,3,0)),0,VLOOKUP(I61,Матер!$A$2:$C$85,3,0))</f>
        <v>80</v>
      </c>
      <c r="X61" t="e">
        <f>SUM(#REF!)</f>
        <v>#REF!</v>
      </c>
      <c r="Y61" s="20"/>
    </row>
    <row r="62" spans="1:27" s="11" customFormat="1" ht="25.5" hidden="1" outlineLevel="1">
      <c r="A62" s="12"/>
      <c r="B62" s="35" t="s">
        <v>97</v>
      </c>
      <c r="C62" s="12" t="s">
        <v>14</v>
      </c>
      <c r="D62" s="12">
        <f>+D54*0.02</f>
        <v>0</v>
      </c>
      <c r="E62" s="23"/>
      <c r="F62" s="23"/>
      <c r="G62" s="8"/>
      <c r="H62" s="8"/>
      <c r="I62" s="169" t="s">
        <v>91</v>
      </c>
      <c r="J62" s="8" t="str">
        <f>IF(ISNA(VLOOKUP(I62,Матер!$A$2:$C$85,2,0)),0,VLOOKUP(I62,Матер!$A$2:$C$85,2,0))</f>
        <v>шт</v>
      </c>
      <c r="K62" s="12">
        <f>+D54*4</f>
        <v>0</v>
      </c>
      <c r="L62" s="8"/>
      <c r="M62" s="20"/>
      <c r="N62" s="20"/>
      <c r="O62" s="20"/>
      <c r="P62" s="20"/>
      <c r="Q62" s="20">
        <f t="shared" si="7"/>
        <v>0</v>
      </c>
      <c r="R62" s="20">
        <f t="shared" si="2"/>
        <v>0</v>
      </c>
      <c r="S62" s="20">
        <f t="shared" si="3"/>
        <v>0</v>
      </c>
      <c r="T62" s="20">
        <f t="shared" si="4"/>
        <v>0</v>
      </c>
      <c r="U62" s="20">
        <f t="shared" si="5"/>
        <v>0</v>
      </c>
      <c r="V62" s="20"/>
      <c r="W62">
        <f>IF(ISNA(VLOOKUP(I62,Матер!$A$2:$C$85,3,0)),0,VLOOKUP(I62,Матер!$A$2:$C$85,3,0))</f>
        <v>98</v>
      </c>
      <c r="X62"/>
      <c r="Y62" s="20"/>
    </row>
    <row r="63" spans="1:27" s="11" customFormat="1" hidden="1" outlineLevel="1">
      <c r="A63" s="12"/>
      <c r="B63" s="35"/>
      <c r="C63" s="12"/>
      <c r="D63" s="12"/>
      <c r="E63" s="23"/>
      <c r="F63" s="23"/>
      <c r="G63" s="8"/>
      <c r="H63" s="8"/>
      <c r="I63" s="169" t="s">
        <v>86</v>
      </c>
      <c r="J63" s="8" t="str">
        <f>IF(ISNA(VLOOKUP(I63,Матер!$A$2:$C$85,2,0)),0,VLOOKUP(I63,Матер!$A$2:$C$85,2,0))</f>
        <v>шт</v>
      </c>
      <c r="K63" s="12">
        <f>+D54</f>
        <v>0</v>
      </c>
      <c r="L63" s="8"/>
      <c r="M63" s="20"/>
      <c r="N63" s="20"/>
      <c r="O63" s="20"/>
      <c r="P63" s="20"/>
      <c r="Q63" s="20">
        <f t="shared" si="7"/>
        <v>0</v>
      </c>
      <c r="R63" s="20">
        <f t="shared" si="2"/>
        <v>0</v>
      </c>
      <c r="S63" s="20">
        <f t="shared" si="3"/>
        <v>0</v>
      </c>
      <c r="T63" s="20">
        <f t="shared" si="4"/>
        <v>0</v>
      </c>
      <c r="U63" s="20">
        <f t="shared" si="5"/>
        <v>0</v>
      </c>
      <c r="V63" s="20"/>
      <c r="W63">
        <f>IF(ISNA(VLOOKUP(I63,Матер!$A$2:$C$85,3,0)),0,VLOOKUP(I63,Матер!$A$2:$C$85,3,0))</f>
        <v>100</v>
      </c>
      <c r="X63"/>
      <c r="Y63" s="20"/>
    </row>
    <row r="64" spans="1:27" s="11" customFormat="1" hidden="1" outlineLevel="1">
      <c r="A64" s="12"/>
      <c r="B64" s="35"/>
      <c r="C64" s="12"/>
      <c r="D64" s="12"/>
      <c r="E64" s="23"/>
      <c r="F64" s="23"/>
      <c r="G64" s="8"/>
      <c r="H64" s="8"/>
      <c r="I64" s="169" t="s">
        <v>38</v>
      </c>
      <c r="J64" s="8" t="str">
        <f>IF(ISNA(VLOOKUP(I64,Матер!$A$2:$C$85,2,0)),0,VLOOKUP(I64,Матер!$A$2:$C$85,2,0))</f>
        <v>шт</v>
      </c>
      <c r="K64" s="12">
        <f>+D54</f>
        <v>0</v>
      </c>
      <c r="L64" s="8"/>
      <c r="M64" s="20"/>
      <c r="N64" s="20"/>
      <c r="O64" s="20"/>
      <c r="P64" s="20"/>
      <c r="Q64" s="20">
        <f t="shared" si="7"/>
        <v>0</v>
      </c>
      <c r="R64" s="20">
        <f t="shared" si="2"/>
        <v>0</v>
      </c>
      <c r="S64" s="20">
        <f t="shared" si="3"/>
        <v>0</v>
      </c>
      <c r="T64" s="20">
        <f t="shared" si="4"/>
        <v>0</v>
      </c>
      <c r="U64" s="20">
        <f t="shared" si="5"/>
        <v>0</v>
      </c>
      <c r="V64" s="20"/>
      <c r="W64">
        <f>IF(ISNA(VLOOKUP(I64,Матер!$A$2:$C$85,3,0)),0,VLOOKUP(I64,Матер!$A$2:$C$85,3,0))</f>
        <v>66.81</v>
      </c>
      <c r="X64"/>
      <c r="Y64" s="20"/>
    </row>
    <row r="65" spans="1:28" s="11" customFormat="1" hidden="1" outlineLevel="1">
      <c r="A65" s="12"/>
      <c r="B65" s="35"/>
      <c r="C65" s="12"/>
      <c r="D65" s="12"/>
      <c r="E65" s="23"/>
      <c r="F65" s="23"/>
      <c r="G65" s="8"/>
      <c r="H65" s="8"/>
      <c r="I65" s="169" t="s">
        <v>74</v>
      </c>
      <c r="J65" s="8" t="str">
        <f>IF(ISNA(VLOOKUP(I65,Матер!$A$2:$C$85,2,0)),0,VLOOKUP(I65,Матер!$A$2:$C$85,2,0))</f>
        <v>упак/50м</v>
      </c>
      <c r="K65" s="8">
        <f>+D54*0.02</f>
        <v>0</v>
      </c>
      <c r="L65" s="8"/>
      <c r="M65" s="20"/>
      <c r="N65" s="20"/>
      <c r="O65" s="20"/>
      <c r="P65" s="20"/>
      <c r="Q65" s="20">
        <f t="shared" si="7"/>
        <v>0</v>
      </c>
      <c r="R65" s="20">
        <f t="shared" si="2"/>
        <v>0</v>
      </c>
      <c r="S65" s="20">
        <f t="shared" si="3"/>
        <v>0</v>
      </c>
      <c r="T65" s="20">
        <f t="shared" si="4"/>
        <v>0</v>
      </c>
      <c r="U65" s="20">
        <f t="shared" si="5"/>
        <v>0</v>
      </c>
      <c r="V65" s="20"/>
      <c r="W65">
        <f>IF(ISNA(VLOOKUP(I65,Матер!$A$2:$C$85,3,0)),0,VLOOKUP(I65,Матер!$A$2:$C$85,3,0))</f>
        <v>1500</v>
      </c>
      <c r="X65"/>
      <c r="Y65" s="20"/>
    </row>
    <row r="66" spans="1:28" s="11" customFormat="1" hidden="1" outlineLevel="1">
      <c r="A66" s="12"/>
      <c r="B66" s="35"/>
      <c r="C66" s="12"/>
      <c r="D66" s="12"/>
      <c r="E66" s="23"/>
      <c r="F66" s="23"/>
      <c r="G66" s="8"/>
      <c r="H66" s="8"/>
      <c r="I66" s="169" t="s">
        <v>72</v>
      </c>
      <c r="J66" s="8" t="str">
        <f>IF(ISNA(VLOOKUP(I66,Матер!$A$2:$C$85,2,0)),0,VLOOKUP(I66,Матер!$A$2:$C$85,2,0))</f>
        <v>упак/100шт</v>
      </c>
      <c r="K66" s="8">
        <f>D54*0.01*2</f>
        <v>0</v>
      </c>
      <c r="L66" s="8"/>
      <c r="M66" s="20"/>
      <c r="N66" s="20"/>
      <c r="O66" s="20"/>
      <c r="P66" s="20"/>
      <c r="Q66" s="20">
        <f t="shared" si="7"/>
        <v>0</v>
      </c>
      <c r="R66" s="20">
        <f t="shared" si="2"/>
        <v>0</v>
      </c>
      <c r="S66" s="20">
        <f t="shared" si="3"/>
        <v>0</v>
      </c>
      <c r="T66" s="20">
        <f t="shared" si="4"/>
        <v>0</v>
      </c>
      <c r="U66" s="20">
        <f t="shared" si="5"/>
        <v>0</v>
      </c>
      <c r="V66" s="20"/>
      <c r="W66">
        <f>IF(ISNA(VLOOKUP(I66,Матер!$A$2:$C$85,3,0)),0,VLOOKUP(I66,Матер!$A$2:$C$85,3,0))</f>
        <v>600</v>
      </c>
      <c r="X66"/>
      <c r="Y66" s="20"/>
    </row>
    <row r="67" spans="1:28" s="11" customFormat="1" hidden="1" outlineLevel="1">
      <c r="A67" s="12"/>
      <c r="B67" s="35"/>
      <c r="C67" s="12"/>
      <c r="D67" s="12"/>
      <c r="E67" s="23"/>
      <c r="F67" s="23"/>
      <c r="G67" s="8"/>
      <c r="H67" s="8"/>
      <c r="I67" s="169" t="s">
        <v>70</v>
      </c>
      <c r="J67" s="8" t="str">
        <f>IF(ISNA(VLOOKUP(I67,Матер!$A$2:$C$85,2,0)),0,VLOOKUP(I67,Матер!$A$2:$C$85,2,0))</f>
        <v>шт</v>
      </c>
      <c r="K67" s="12">
        <f>+D54*4</f>
        <v>0</v>
      </c>
      <c r="L67" s="8"/>
      <c r="M67" s="20"/>
      <c r="N67" s="20"/>
      <c r="O67" s="20"/>
      <c r="P67" s="20"/>
      <c r="Q67" s="20">
        <f t="shared" si="7"/>
        <v>0</v>
      </c>
      <c r="R67" s="20">
        <f t="shared" si="2"/>
        <v>0</v>
      </c>
      <c r="S67" s="20">
        <f t="shared" si="3"/>
        <v>0</v>
      </c>
      <c r="T67" s="20">
        <f t="shared" si="4"/>
        <v>0</v>
      </c>
      <c r="U67" s="20">
        <f t="shared" si="5"/>
        <v>0</v>
      </c>
      <c r="V67" s="20"/>
      <c r="W67">
        <f>IF(ISNA(VLOOKUP(I67,Матер!$A$2:$C$85,3,0)),0,VLOOKUP(I67,Матер!$A$2:$C$85,3,0))</f>
        <v>3.5169999999999999</v>
      </c>
      <c r="X67"/>
      <c r="Y67" s="20"/>
    </row>
    <row r="68" spans="1:28" s="11" customFormat="1" ht="25.5" hidden="1" outlineLevel="1">
      <c r="A68" s="12"/>
      <c r="B68" s="35"/>
      <c r="C68" s="12"/>
      <c r="D68" s="12"/>
      <c r="E68" s="23"/>
      <c r="F68" s="23"/>
      <c r="G68" s="8"/>
      <c r="H68" s="8"/>
      <c r="I68" s="169" t="s">
        <v>57</v>
      </c>
      <c r="J68" s="8" t="str">
        <f>IF(ISNA(VLOOKUP(I68,Матер!$A$2:$C$85,2,0)),0,VLOOKUP(I68,Матер!$A$2:$C$85,2,0))</f>
        <v>км</v>
      </c>
      <c r="K68" s="12">
        <f>+D62</f>
        <v>0</v>
      </c>
      <c r="L68" s="8"/>
      <c r="M68" s="20"/>
      <c r="N68" s="20"/>
      <c r="O68" s="20"/>
      <c r="P68" s="20"/>
      <c r="Q68" s="20">
        <f t="shared" si="7"/>
        <v>0</v>
      </c>
      <c r="R68" s="20">
        <f t="shared" si="2"/>
        <v>0</v>
      </c>
      <c r="S68" s="20">
        <f t="shared" si="3"/>
        <v>0</v>
      </c>
      <c r="T68" s="20">
        <f t="shared" si="4"/>
        <v>0</v>
      </c>
      <c r="U68" s="20">
        <f t="shared" si="5"/>
        <v>0</v>
      </c>
      <c r="V68" s="20"/>
      <c r="W68">
        <f>IF(ISNA(VLOOKUP(I68,Матер!$A$2:$C$85,3,0)),0,VLOOKUP(I68,Матер!$A$2:$C$85,3,0))</f>
        <v>68745</v>
      </c>
      <c r="X68"/>
      <c r="Y68" s="20"/>
    </row>
    <row r="69" spans="1:28" s="17" customFormat="1" ht="25.5" hidden="1" outlineLevel="1">
      <c r="A69" s="12">
        <v>12</v>
      </c>
      <c r="B69" s="35" t="s">
        <v>21</v>
      </c>
      <c r="C69" s="12" t="s">
        <v>15</v>
      </c>
      <c r="D69" s="16">
        <v>0</v>
      </c>
      <c r="E69" s="23"/>
      <c r="F69" s="23"/>
      <c r="G69" s="8"/>
      <c r="H69" s="8"/>
      <c r="I69" s="169" t="s">
        <v>56</v>
      </c>
      <c r="J69" s="8" t="str">
        <f>IF(ISNA(VLOOKUP(I69,Матер!$A$2:$C$85,2,0)),0,VLOOKUP(I69,Матер!$A$2:$C$85,2,0))</f>
        <v>км</v>
      </c>
      <c r="K69" s="10">
        <f>+D69*0.015</f>
        <v>0</v>
      </c>
      <c r="L69" s="8"/>
      <c r="M69" s="20"/>
      <c r="N69" s="20"/>
      <c r="O69" s="20"/>
      <c r="P69" s="20"/>
      <c r="Q69" s="20">
        <f t="shared" si="7"/>
        <v>0</v>
      </c>
      <c r="R69" s="20">
        <f t="shared" si="2"/>
        <v>0</v>
      </c>
      <c r="S69" s="20">
        <f t="shared" si="3"/>
        <v>0</v>
      </c>
      <c r="T69" s="20">
        <f t="shared" si="4"/>
        <v>0</v>
      </c>
      <c r="U69" s="20">
        <f t="shared" si="5"/>
        <v>0</v>
      </c>
      <c r="V69" s="20"/>
      <c r="W69">
        <f>IF(ISNA(VLOOKUP(I69,Матер!$A$2:$C$85,3,0)),0,VLOOKUP(I69,Матер!$A$2:$C$85,3,0))</f>
        <v>34681.949999999997</v>
      </c>
      <c r="X69"/>
      <c r="Y69" s="71" t="s">
        <v>81</v>
      </c>
      <c r="Z69" s="72">
        <v>203.32333066666669</v>
      </c>
      <c r="AA69" s="11">
        <f>+Z69*D69/1000</f>
        <v>0</v>
      </c>
    </row>
    <row r="70" spans="1:28" s="17" customFormat="1" hidden="1" outlineLevel="1">
      <c r="A70" s="12"/>
      <c r="B70" s="35"/>
      <c r="C70" s="12"/>
      <c r="D70" s="16"/>
      <c r="E70" s="23"/>
      <c r="F70" s="23"/>
      <c r="G70" s="8"/>
      <c r="H70" s="8"/>
      <c r="I70" s="169" t="s">
        <v>91</v>
      </c>
      <c r="J70" s="8" t="str">
        <f>IF(ISNA(VLOOKUP(I70,Матер!$A$2:$C$85,2,0)),0,VLOOKUP(I70,Матер!$A$2:$C$85,2,0))</f>
        <v>шт</v>
      </c>
      <c r="K70" s="10">
        <f>+D69*2</f>
        <v>0</v>
      </c>
      <c r="L70" s="8"/>
      <c r="M70" s="20"/>
      <c r="N70" s="20"/>
      <c r="O70" s="20"/>
      <c r="P70" s="20"/>
      <c r="Q70" s="20">
        <f t="shared" si="7"/>
        <v>0</v>
      </c>
      <c r="R70" s="20">
        <f t="shared" si="2"/>
        <v>0</v>
      </c>
      <c r="S70" s="20">
        <f t="shared" si="3"/>
        <v>0</v>
      </c>
      <c r="T70" s="20">
        <f t="shared" si="4"/>
        <v>0</v>
      </c>
      <c r="U70" s="20">
        <f t="shared" si="5"/>
        <v>0</v>
      </c>
      <c r="V70" s="20"/>
      <c r="W70">
        <f>IF(ISNA(VLOOKUP(I70,Матер!$A$2:$C$85,3,0)),0,VLOOKUP(I70,Матер!$A$2:$C$85,3,0))</f>
        <v>98</v>
      </c>
      <c r="X70"/>
      <c r="Y70" s="71"/>
      <c r="Z70" s="72"/>
      <c r="AA70" s="11"/>
    </row>
    <row r="71" spans="1:28" s="17" customFormat="1" hidden="1" outlineLevel="1">
      <c r="A71" s="12"/>
      <c r="B71" s="35"/>
      <c r="C71" s="12"/>
      <c r="D71" s="16"/>
      <c r="E71" s="23"/>
      <c r="F71" s="23"/>
      <c r="G71" s="8"/>
      <c r="H71" s="8"/>
      <c r="I71" s="169" t="s">
        <v>87</v>
      </c>
      <c r="J71" s="8" t="str">
        <f>IF(ISNA(VLOOKUP(I71,Матер!$A$2:$C$85,2,0)),0,VLOOKUP(I71,Матер!$A$2:$C$85,2,0))</f>
        <v>шт</v>
      </c>
      <c r="K71" s="10">
        <f>+D69</f>
        <v>0</v>
      </c>
      <c r="L71" s="8"/>
      <c r="M71" s="20"/>
      <c r="N71" s="20"/>
      <c r="O71" s="20"/>
      <c r="P71" s="20"/>
      <c r="Q71" s="20">
        <f t="shared" si="7"/>
        <v>0</v>
      </c>
      <c r="R71" s="20">
        <f t="shared" si="2"/>
        <v>0</v>
      </c>
      <c r="S71" s="20">
        <f t="shared" si="3"/>
        <v>0</v>
      </c>
      <c r="T71" s="20">
        <f t="shared" si="4"/>
        <v>0</v>
      </c>
      <c r="U71" s="20">
        <f t="shared" si="5"/>
        <v>0</v>
      </c>
      <c r="V71" s="20"/>
      <c r="W71">
        <f>IF(ISNA(VLOOKUP(I71,Матер!$A$2:$C$85,3,0)),0,VLOOKUP(I71,Матер!$A$2:$C$85,3,0))</f>
        <v>20</v>
      </c>
      <c r="X71"/>
      <c r="Y71" s="71"/>
      <c r="Z71" s="72"/>
      <c r="AA71" s="11"/>
    </row>
    <row r="72" spans="1:28" s="17" customFormat="1" hidden="1" outlineLevel="1">
      <c r="A72" s="12"/>
      <c r="B72" s="35"/>
      <c r="C72" s="12"/>
      <c r="D72" s="16"/>
      <c r="E72" s="23"/>
      <c r="F72" s="23"/>
      <c r="G72" s="8"/>
      <c r="H72" s="8"/>
      <c r="I72" s="169" t="s">
        <v>74</v>
      </c>
      <c r="J72" s="8" t="str">
        <f>IF(ISNA(VLOOKUP(I72,Матер!$A$2:$C$85,2,0)),0,VLOOKUP(I72,Матер!$A$2:$C$85,2,0))</f>
        <v>упак/50м</v>
      </c>
      <c r="K72" s="8">
        <f>+D69*0.02</f>
        <v>0</v>
      </c>
      <c r="L72" s="8"/>
      <c r="M72" s="20"/>
      <c r="N72" s="20"/>
      <c r="O72" s="20"/>
      <c r="P72" s="20"/>
      <c r="Q72" s="20">
        <f t="shared" si="7"/>
        <v>0</v>
      </c>
      <c r="R72" s="20">
        <f t="shared" si="2"/>
        <v>0</v>
      </c>
      <c r="S72" s="20">
        <f t="shared" si="3"/>
        <v>0</v>
      </c>
      <c r="T72" s="20">
        <f t="shared" si="4"/>
        <v>0</v>
      </c>
      <c r="U72" s="20">
        <f t="shared" si="5"/>
        <v>0</v>
      </c>
      <c r="V72" s="20"/>
      <c r="W72">
        <f>IF(ISNA(VLOOKUP(I72,Матер!$A$2:$C$85,3,0)),0,VLOOKUP(I72,Матер!$A$2:$C$85,3,0))</f>
        <v>1500</v>
      </c>
      <c r="X72"/>
      <c r="Y72" s="20"/>
      <c r="AA72" s="11">
        <f>+Z72*D72</f>
        <v>0</v>
      </c>
    </row>
    <row r="73" spans="1:28" s="17" customFormat="1" hidden="1" outlineLevel="1">
      <c r="A73" s="12"/>
      <c r="B73" s="35"/>
      <c r="C73" s="12"/>
      <c r="D73" s="16"/>
      <c r="E73" s="23"/>
      <c r="F73" s="23"/>
      <c r="G73" s="8"/>
      <c r="H73" s="8"/>
      <c r="I73" s="169" t="s">
        <v>72</v>
      </c>
      <c r="J73" s="8" t="str">
        <f>IF(ISNA(VLOOKUP(I73,Матер!$A$2:$C$85,2,0)),0,VLOOKUP(I73,Матер!$A$2:$C$85,2,0))</f>
        <v>упак/100шт</v>
      </c>
      <c r="K73" s="12">
        <f>+D69*0.01</f>
        <v>0</v>
      </c>
      <c r="L73" s="8"/>
      <c r="M73" s="20"/>
      <c r="N73" s="20"/>
      <c r="O73" s="20"/>
      <c r="P73" s="20"/>
      <c r="Q73" s="20">
        <f t="shared" si="7"/>
        <v>0</v>
      </c>
      <c r="R73" s="20">
        <f t="shared" si="2"/>
        <v>0</v>
      </c>
      <c r="S73" s="20">
        <f t="shared" si="3"/>
        <v>0</v>
      </c>
      <c r="T73" s="20">
        <f t="shared" si="4"/>
        <v>0</v>
      </c>
      <c r="U73" s="20">
        <f t="shared" si="5"/>
        <v>0</v>
      </c>
      <c r="V73" s="20"/>
      <c r="W73">
        <f>IF(ISNA(VLOOKUP(I73,Матер!$A$2:$C$85,3,0)),0,VLOOKUP(I73,Матер!$A$2:$C$85,3,0))</f>
        <v>600</v>
      </c>
      <c r="X73"/>
      <c r="Y73" s="20"/>
      <c r="AA73" s="11">
        <f>+Z73*D73</f>
        <v>0</v>
      </c>
    </row>
    <row r="74" spans="1:28" s="17" customFormat="1" hidden="1" outlineLevel="1">
      <c r="A74" s="12"/>
      <c r="B74" s="35"/>
      <c r="C74" s="12"/>
      <c r="D74" s="16"/>
      <c r="E74" s="23"/>
      <c r="F74" s="23"/>
      <c r="G74" s="8"/>
      <c r="H74" s="8"/>
      <c r="I74" s="169" t="s">
        <v>38</v>
      </c>
      <c r="J74" s="8" t="str">
        <f>IF(ISNA(VLOOKUP(I74,Матер!$A$2:$C$85,2,0)),0,VLOOKUP(I74,Матер!$A$2:$C$85,2,0))</f>
        <v>шт</v>
      </c>
      <c r="K74" s="10">
        <f>+D69*2</f>
        <v>0</v>
      </c>
      <c r="L74" s="8"/>
      <c r="M74" s="20"/>
      <c r="N74" s="20"/>
      <c r="O74" s="20"/>
      <c r="P74" s="20"/>
      <c r="Q74" s="20">
        <f t="shared" si="7"/>
        <v>0</v>
      </c>
      <c r="R74" s="20">
        <f t="shared" si="2"/>
        <v>0</v>
      </c>
      <c r="S74" s="20">
        <f t="shared" si="3"/>
        <v>0</v>
      </c>
      <c r="T74" s="20">
        <f t="shared" si="4"/>
        <v>0</v>
      </c>
      <c r="U74" s="20">
        <f t="shared" si="5"/>
        <v>0</v>
      </c>
      <c r="V74" s="20"/>
      <c r="W74">
        <f>IF(ISNA(VLOOKUP(I74,Матер!$A$2:$C$85,3,0)),0,VLOOKUP(I74,Матер!$A$2:$C$85,3,0))</f>
        <v>66.81</v>
      </c>
      <c r="X74"/>
      <c r="AA74" s="11">
        <f>+Z74*D74</f>
        <v>0</v>
      </c>
    </row>
    <row r="75" spans="1:28" s="17" customFormat="1" hidden="1" outlineLevel="1">
      <c r="A75" s="12"/>
      <c r="B75" s="35"/>
      <c r="C75" s="12"/>
      <c r="D75" s="16"/>
      <c r="E75" s="23"/>
      <c r="F75" s="23"/>
      <c r="G75" s="8"/>
      <c r="H75" s="8"/>
      <c r="I75" s="169" t="s">
        <v>70</v>
      </c>
      <c r="J75" s="8" t="str">
        <f>IF(ISNA(VLOOKUP(I75,Матер!$A$2:$C$85,2,0)),0,VLOOKUP(I75,Матер!$A$2:$C$85,2,0))</f>
        <v>шт</v>
      </c>
      <c r="K75" s="10">
        <f>+D69*4</f>
        <v>0</v>
      </c>
      <c r="L75" s="8"/>
      <c r="M75" s="20"/>
      <c r="N75" s="20"/>
      <c r="O75" s="20"/>
      <c r="P75" s="20"/>
      <c r="Q75" s="20">
        <f t="shared" si="7"/>
        <v>0</v>
      </c>
      <c r="R75" s="20">
        <f t="shared" si="2"/>
        <v>0</v>
      </c>
      <c r="S75" s="20">
        <f t="shared" si="3"/>
        <v>0</v>
      </c>
      <c r="T75" s="20">
        <f t="shared" si="4"/>
        <v>0</v>
      </c>
      <c r="U75" s="20">
        <f t="shared" si="5"/>
        <v>0</v>
      </c>
      <c r="V75" s="20"/>
      <c r="W75">
        <f>IF(ISNA(VLOOKUP(I75,Матер!$A$2:$C$85,3,0)),0,VLOOKUP(I75,Матер!$A$2:$C$85,3,0))</f>
        <v>3.5169999999999999</v>
      </c>
      <c r="X75"/>
      <c r="AA75" s="11"/>
    </row>
    <row r="76" spans="1:28" s="17" customFormat="1" ht="38.25" hidden="1" outlineLevel="1">
      <c r="A76" s="12">
        <v>13</v>
      </c>
      <c r="B76" s="35" t="s">
        <v>22</v>
      </c>
      <c r="C76" s="12" t="s">
        <v>15</v>
      </c>
      <c r="D76" s="8">
        <f>+D69</f>
        <v>0</v>
      </c>
      <c r="E76" s="23"/>
      <c r="F76" s="23"/>
      <c r="G76" s="8"/>
      <c r="H76" s="8"/>
      <c r="I76" s="169" t="s">
        <v>69</v>
      </c>
      <c r="J76" s="8" t="str">
        <f>IF(ISNA(VLOOKUP(I76,Матер!$A$2:$C$85,2,0)),0,VLOOKUP(I76,Матер!$A$2:$C$85,2,0))</f>
        <v>шт</v>
      </c>
      <c r="K76" s="10">
        <f>+D76</f>
        <v>0</v>
      </c>
      <c r="L76" s="165" t="s">
        <v>31</v>
      </c>
      <c r="M76" s="20"/>
      <c r="N76" s="20"/>
      <c r="O76" s="20"/>
      <c r="P76" s="20"/>
      <c r="Q76" s="20">
        <f t="shared" si="7"/>
        <v>0</v>
      </c>
      <c r="R76" s="20">
        <f t="shared" si="2"/>
        <v>0</v>
      </c>
      <c r="S76" s="20">
        <f t="shared" si="3"/>
        <v>0</v>
      </c>
      <c r="T76" s="20">
        <f t="shared" si="4"/>
        <v>0</v>
      </c>
      <c r="U76" s="20">
        <f t="shared" si="5"/>
        <v>0</v>
      </c>
      <c r="V76" s="20"/>
      <c r="W76">
        <f>IF(ISNA(VLOOKUP(I76,Матер!$A$2:$C$85,3,0)),0,VLOOKUP(I76,Матер!$A$2:$C$85,3,0))</f>
        <v>0</v>
      </c>
      <c r="X76"/>
      <c r="Y76" s="71" t="s">
        <v>83</v>
      </c>
      <c r="Z76" s="32">
        <v>101.25</v>
      </c>
      <c r="AA76" s="11">
        <f>+Z76*D76/1000</f>
        <v>0</v>
      </c>
      <c r="AB76" s="17">
        <f>SUM(AA69:AA77)</f>
        <v>0</v>
      </c>
    </row>
    <row r="77" spans="1:28" s="17" customFormat="1" hidden="1" outlineLevel="1">
      <c r="A77" s="12"/>
      <c r="B77" s="35"/>
      <c r="C77" s="12"/>
      <c r="D77" s="8"/>
      <c r="E77" s="23"/>
      <c r="F77" s="23"/>
      <c r="G77" s="8"/>
      <c r="H77" s="8"/>
      <c r="I77" s="169" t="s">
        <v>91</v>
      </c>
      <c r="J77" s="8" t="str">
        <f>IF(ISNA(VLOOKUP(I77,Матер!$A$2:$C$85,2,0)),0,VLOOKUP(I77,Матер!$A$2:$C$85,2,0))</f>
        <v>шт</v>
      </c>
      <c r="K77" s="10">
        <f>+D76*2</f>
        <v>0</v>
      </c>
      <c r="L77" s="8"/>
      <c r="M77" s="20"/>
      <c r="N77" s="20"/>
      <c r="O77" s="20"/>
      <c r="P77" s="20"/>
      <c r="Q77" s="20">
        <f t="shared" si="7"/>
        <v>0</v>
      </c>
      <c r="R77" s="20">
        <f t="shared" si="2"/>
        <v>0</v>
      </c>
      <c r="S77" s="20">
        <f t="shared" si="3"/>
        <v>0</v>
      </c>
      <c r="T77" s="20">
        <f t="shared" si="4"/>
        <v>0</v>
      </c>
      <c r="U77" s="20">
        <f t="shared" si="5"/>
        <v>0</v>
      </c>
      <c r="V77" s="20"/>
      <c r="W77">
        <f>IF(ISNA(VLOOKUP(I77,Матер!$A$2:$C$85,3,0)),0,VLOOKUP(I77,Матер!$A$2:$C$85,3,0))</f>
        <v>98</v>
      </c>
      <c r="X77"/>
      <c r="AA77" s="11">
        <f>+Z77*D77</f>
        <v>0</v>
      </c>
    </row>
    <row r="78" spans="1:28" s="17" customFormat="1" hidden="1" outlineLevel="1">
      <c r="A78" s="12"/>
      <c r="B78" s="35"/>
      <c r="C78" s="12"/>
      <c r="D78" s="8"/>
      <c r="E78" s="23"/>
      <c r="F78" s="23"/>
      <c r="G78" s="8"/>
      <c r="H78" s="8"/>
      <c r="I78" s="169" t="s">
        <v>70</v>
      </c>
      <c r="J78" s="8" t="str">
        <f>IF(ISNA(VLOOKUP(I78,Матер!$A$2:$C$85,2,0)),0,VLOOKUP(I78,Матер!$A$2:$C$85,2,0))</f>
        <v>шт</v>
      </c>
      <c r="K78" s="10">
        <f>+D76*2</f>
        <v>0</v>
      </c>
      <c r="L78" s="8"/>
      <c r="M78" s="20"/>
      <c r="N78" s="20"/>
      <c r="O78" s="20"/>
      <c r="P78" s="20"/>
      <c r="Q78" s="20">
        <f t="shared" si="7"/>
        <v>0</v>
      </c>
      <c r="R78" s="20">
        <f t="shared" si="2"/>
        <v>0</v>
      </c>
      <c r="S78" s="20">
        <f t="shared" si="3"/>
        <v>0</v>
      </c>
      <c r="T78" s="20">
        <f t="shared" si="4"/>
        <v>0</v>
      </c>
      <c r="U78" s="20">
        <f t="shared" si="5"/>
        <v>0</v>
      </c>
      <c r="V78" s="20"/>
      <c r="W78">
        <f>IF(ISNA(VLOOKUP(I78,Матер!$A$2:$C$85,3,0)),0,VLOOKUP(I78,Матер!$A$2:$C$85,3,0))</f>
        <v>3.5169999999999999</v>
      </c>
      <c r="X78" t="e">
        <f>SUM(#REF!)</f>
        <v>#REF!</v>
      </c>
      <c r="Y78" s="20"/>
      <c r="AA78" s="11">
        <f>+Z78*D78</f>
        <v>0</v>
      </c>
    </row>
    <row r="79" spans="1:28" s="17" customFormat="1" ht="25.5" collapsed="1">
      <c r="A79" s="12">
        <v>11</v>
      </c>
      <c r="B79" s="35" t="s">
        <v>202</v>
      </c>
      <c r="C79" s="12" t="s">
        <v>15</v>
      </c>
      <c r="D79" s="16">
        <f>D23</f>
        <v>16</v>
      </c>
      <c r="E79" s="23"/>
      <c r="F79" s="23"/>
      <c r="G79" s="8"/>
      <c r="H79" s="8"/>
      <c r="I79" s="169" t="s">
        <v>56</v>
      </c>
      <c r="J79" s="8" t="s">
        <v>170</v>
      </c>
      <c r="K79" s="10">
        <f>D79*15</f>
        <v>240</v>
      </c>
      <c r="L79" s="8" t="s">
        <v>142</v>
      </c>
      <c r="M79" s="20"/>
      <c r="N79" s="20">
        <v>1</v>
      </c>
      <c r="O79" s="132">
        <v>0.13700000000000001</v>
      </c>
      <c r="P79" s="20"/>
      <c r="Q79" s="77">
        <f>O79*K79</f>
        <v>32.880000000000003</v>
      </c>
      <c r="R79" s="77">
        <f t="shared" si="2"/>
        <v>32.880000000000003</v>
      </c>
      <c r="S79" s="20">
        <f t="shared" si="3"/>
        <v>0</v>
      </c>
      <c r="T79" s="20">
        <f t="shared" si="4"/>
        <v>0</v>
      </c>
      <c r="U79" s="20">
        <f t="shared" si="5"/>
        <v>0</v>
      </c>
      <c r="V79" s="157" t="s">
        <v>186</v>
      </c>
      <c r="W79">
        <f>IF(ISNA(VLOOKUP(I79,Матер!$A$2:$C$85,3,0)),0,VLOOKUP(I79,Матер!$A$2:$C$85,3,0))</f>
        <v>34681.949999999997</v>
      </c>
      <c r="X79"/>
      <c r="Y79" s="71" t="s">
        <v>80</v>
      </c>
      <c r="Z79" s="17">
        <v>261.55</v>
      </c>
      <c r="AA79" s="11">
        <f>+Z79*D79/1000</f>
        <v>4.1848000000000001</v>
      </c>
    </row>
    <row r="80" spans="1:28" s="17" customFormat="1">
      <c r="A80" s="12"/>
      <c r="B80" s="35"/>
      <c r="C80" s="12"/>
      <c r="D80" s="16"/>
      <c r="E80" s="23"/>
      <c r="F80" s="23"/>
      <c r="G80" s="8"/>
      <c r="H80" s="8"/>
      <c r="I80" s="169" t="s">
        <v>91</v>
      </c>
      <c r="J80" s="8" t="str">
        <f>IF(ISNA(VLOOKUP(I80,Матер!$A$2:$C$85,2,0)),0,VLOOKUP(I80,Матер!$A$2:$C$85,2,0))</f>
        <v>шт</v>
      </c>
      <c r="K80" s="10">
        <f>+D79*4</f>
        <v>64</v>
      </c>
      <c r="L80" s="8" t="s">
        <v>142</v>
      </c>
      <c r="M80" s="20"/>
      <c r="N80" s="20">
        <v>1</v>
      </c>
      <c r="O80" s="20">
        <v>0.125</v>
      </c>
      <c r="P80" s="20"/>
      <c r="Q80" s="20">
        <f t="shared" ref="Q80:Q103" si="8">O80*K80</f>
        <v>8</v>
      </c>
      <c r="R80" s="20">
        <f t="shared" si="2"/>
        <v>8</v>
      </c>
      <c r="S80" s="20">
        <f t="shared" si="3"/>
        <v>0</v>
      </c>
      <c r="T80" s="20">
        <f t="shared" si="4"/>
        <v>0</v>
      </c>
      <c r="U80" s="20">
        <f t="shared" si="5"/>
        <v>0</v>
      </c>
      <c r="V80" s="20"/>
      <c r="W80">
        <f>IF(ISNA(VLOOKUP(I80,Матер!$A$2:$C$85,3,0)),0,VLOOKUP(I80,Матер!$A$2:$C$85,3,0))</f>
        <v>98</v>
      </c>
      <c r="X80"/>
      <c r="Y80" s="71"/>
      <c r="AA80" s="11"/>
    </row>
    <row r="81" spans="1:28" s="17" customFormat="1">
      <c r="A81" s="12"/>
      <c r="B81" s="35"/>
      <c r="C81" s="12"/>
      <c r="D81" s="16"/>
      <c r="E81" s="23"/>
      <c r="F81" s="23"/>
      <c r="G81" s="8"/>
      <c r="H81" s="8"/>
      <c r="I81" s="169" t="s">
        <v>87</v>
      </c>
      <c r="J81" s="8" t="str">
        <f>IF(ISNA(VLOOKUP(I81,Матер!$A$2:$C$85,2,0)),0,VLOOKUP(I81,Матер!$A$2:$C$85,2,0))</f>
        <v>шт</v>
      </c>
      <c r="K81" s="10">
        <f>+D79</f>
        <v>16</v>
      </c>
      <c r="L81" s="8" t="s">
        <v>142</v>
      </c>
      <c r="M81" s="20"/>
      <c r="N81" s="20">
        <v>1</v>
      </c>
      <c r="O81" s="20">
        <v>0.1</v>
      </c>
      <c r="P81" s="20"/>
      <c r="Q81" s="20">
        <f t="shared" si="8"/>
        <v>1.6</v>
      </c>
      <c r="R81" s="20">
        <f t="shared" si="2"/>
        <v>1.6</v>
      </c>
      <c r="S81" s="20">
        <f t="shared" si="3"/>
        <v>0</v>
      </c>
      <c r="T81" s="20">
        <f t="shared" si="4"/>
        <v>0</v>
      </c>
      <c r="U81" s="20">
        <f t="shared" si="5"/>
        <v>0</v>
      </c>
      <c r="V81" s="20"/>
      <c r="W81">
        <f>IF(ISNA(VLOOKUP(I81,Матер!$A$2:$C$85,3,0)),0,VLOOKUP(I81,Матер!$A$2:$C$85,3,0))</f>
        <v>20</v>
      </c>
      <c r="X81"/>
      <c r="Y81" s="71"/>
      <c r="AA81" s="11"/>
    </row>
    <row r="82" spans="1:28" s="17" customFormat="1">
      <c r="A82" s="12"/>
      <c r="B82" s="35"/>
      <c r="C82" s="12"/>
      <c r="D82" s="16"/>
      <c r="E82" s="23"/>
      <c r="F82" s="23"/>
      <c r="G82" s="8"/>
      <c r="H82" s="8"/>
      <c r="I82" s="169" t="s">
        <v>74</v>
      </c>
      <c r="J82" s="8" t="str">
        <f>IF(ISNA(VLOOKUP(I82,Матер!$A$2:$C$85,2,0)),0,VLOOKUP(I82,Матер!$A$2:$C$85,2,0))</f>
        <v>упак/50м</v>
      </c>
      <c r="K82" s="8">
        <f>(D79*2/50*100)/100</f>
        <v>0.64</v>
      </c>
      <c r="L82" s="8" t="s">
        <v>142</v>
      </c>
      <c r="M82" s="20">
        <f>26/50*100</f>
        <v>52</v>
      </c>
      <c r="N82" s="20">
        <v>1</v>
      </c>
      <c r="O82" s="20">
        <v>3.9</v>
      </c>
      <c r="P82" s="20"/>
      <c r="Q82" s="20">
        <f t="shared" si="8"/>
        <v>2.496</v>
      </c>
      <c r="R82" s="20">
        <f t="shared" si="2"/>
        <v>2.496</v>
      </c>
      <c r="S82" s="20">
        <f t="shared" si="3"/>
        <v>0</v>
      </c>
      <c r="T82" s="20">
        <f t="shared" si="4"/>
        <v>0</v>
      </c>
      <c r="U82" s="20">
        <f t="shared" si="5"/>
        <v>0</v>
      </c>
      <c r="V82" s="20"/>
      <c r="W82">
        <f>IF(ISNA(VLOOKUP(I82,Матер!$A$2:$C$85,3,0)),0,VLOOKUP(I82,Матер!$A$2:$C$85,3,0))</f>
        <v>1500</v>
      </c>
      <c r="X82"/>
      <c r="Y82" s="20"/>
      <c r="AA82" s="11">
        <f>+Z82*D82</f>
        <v>0</v>
      </c>
    </row>
    <row r="83" spans="1:28" s="17" customFormat="1" ht="25.5" customHeight="1">
      <c r="A83" s="12"/>
      <c r="B83" s="35"/>
      <c r="C83" s="12"/>
      <c r="D83" s="16"/>
      <c r="E83" s="23"/>
      <c r="F83" s="23"/>
      <c r="G83" s="8"/>
      <c r="H83" s="8"/>
      <c r="I83" s="169" t="s">
        <v>72</v>
      </c>
      <c r="J83" s="8" t="str">
        <f>IF(ISNA(VLOOKUP(I83,Матер!$A$2:$C$85,2,0)),0,VLOOKUP(I83,Матер!$A$2:$C$85,2,0))</f>
        <v>упак/100шт</v>
      </c>
      <c r="K83" s="8">
        <f>+D79*0.02</f>
        <v>0.32</v>
      </c>
      <c r="L83" s="8" t="s">
        <v>142</v>
      </c>
      <c r="M83" s="20"/>
      <c r="N83" s="20">
        <v>1</v>
      </c>
      <c r="O83" s="20">
        <v>1</v>
      </c>
      <c r="P83" s="20"/>
      <c r="Q83" s="20">
        <f t="shared" si="8"/>
        <v>0.32</v>
      </c>
      <c r="R83" s="20">
        <f t="shared" si="2"/>
        <v>0.32</v>
      </c>
      <c r="S83" s="20">
        <f t="shared" si="3"/>
        <v>0</v>
      </c>
      <c r="T83" s="20">
        <f t="shared" si="4"/>
        <v>0</v>
      </c>
      <c r="U83" s="20">
        <f t="shared" si="5"/>
        <v>0</v>
      </c>
      <c r="V83" s="20"/>
      <c r="W83">
        <f>IF(ISNA(VLOOKUP(I83,Матер!$A$2:$C$85,3,0)),0,VLOOKUP(I83,Матер!$A$2:$C$85,3,0))</f>
        <v>600</v>
      </c>
      <c r="X83"/>
      <c r="Y83" s="20"/>
      <c r="AA83" s="11">
        <f>+Z83*D83</f>
        <v>0</v>
      </c>
    </row>
    <row r="84" spans="1:28" s="17" customFormat="1">
      <c r="A84" s="12"/>
      <c r="B84" s="35"/>
      <c r="C84" s="12"/>
      <c r="D84" s="16"/>
      <c r="E84" s="23"/>
      <c r="F84" s="23"/>
      <c r="G84" s="8"/>
      <c r="H84" s="8"/>
      <c r="I84" s="169" t="s">
        <v>38</v>
      </c>
      <c r="J84" s="8" t="str">
        <f>IF(ISNA(VLOOKUP(I84,Матер!$A$2:$C$85,2,0)),0,VLOOKUP(I84,Матер!$A$2:$C$85,2,0))</f>
        <v>шт</v>
      </c>
      <c r="K84" s="10">
        <f>+D79*2</f>
        <v>32</v>
      </c>
      <c r="L84" s="8" t="s">
        <v>142</v>
      </c>
      <c r="M84" s="20"/>
      <c r="N84" s="20">
        <v>1</v>
      </c>
      <c r="O84" s="20">
        <v>0.46</v>
      </c>
      <c r="P84" s="20"/>
      <c r="Q84" s="20">
        <f t="shared" si="8"/>
        <v>14.72</v>
      </c>
      <c r="R84" s="20">
        <f t="shared" si="2"/>
        <v>14.72</v>
      </c>
      <c r="S84" s="20">
        <f t="shared" si="3"/>
        <v>0</v>
      </c>
      <c r="T84" s="20">
        <f t="shared" si="4"/>
        <v>0</v>
      </c>
      <c r="U84" s="20">
        <f t="shared" si="5"/>
        <v>0</v>
      </c>
      <c r="V84" s="20"/>
      <c r="W84">
        <f>IF(ISNA(VLOOKUP(I84,Матер!$A$2:$C$85,3,0)),0,VLOOKUP(I84,Матер!$A$2:$C$85,3,0))</f>
        <v>66.81</v>
      </c>
      <c r="X84"/>
      <c r="Y84" s="20"/>
      <c r="AA84" s="11">
        <f>+Z84*D84</f>
        <v>0</v>
      </c>
    </row>
    <row r="85" spans="1:28" s="17" customFormat="1" ht="12.75" customHeight="1">
      <c r="A85" s="12"/>
      <c r="B85" s="35"/>
      <c r="C85" s="12"/>
      <c r="D85" s="16"/>
      <c r="E85" s="23"/>
      <c r="F85" s="23"/>
      <c r="G85" s="8"/>
      <c r="H85" s="8"/>
      <c r="I85" s="169" t="s">
        <v>70</v>
      </c>
      <c r="J85" s="8" t="str">
        <f>IF(ISNA(VLOOKUP(I85,Матер!$A$2:$C$85,2,0)),0,VLOOKUP(I85,Матер!$A$2:$C$85,2,0))</f>
        <v>шт</v>
      </c>
      <c r="K85" s="10">
        <f>+D79*6</f>
        <v>96</v>
      </c>
      <c r="L85" s="8" t="s">
        <v>142</v>
      </c>
      <c r="M85" s="20"/>
      <c r="N85" s="20">
        <v>1</v>
      </c>
      <c r="O85" s="20">
        <v>1.4999999999999999E-2</v>
      </c>
      <c r="P85" s="20"/>
      <c r="Q85" s="20">
        <f t="shared" si="8"/>
        <v>1.44</v>
      </c>
      <c r="R85" s="20">
        <f t="shared" si="2"/>
        <v>1.44</v>
      </c>
      <c r="S85" s="20">
        <f t="shared" si="3"/>
        <v>0</v>
      </c>
      <c r="T85" s="20">
        <f t="shared" si="4"/>
        <v>0</v>
      </c>
      <c r="U85" s="20">
        <f t="shared" si="5"/>
        <v>0</v>
      </c>
      <c r="V85" s="20"/>
      <c r="W85">
        <f>IF(ISNA(VLOOKUP(I85,Матер!$A$2:$C$85,3,0)),0,VLOOKUP(I85,Матер!$A$2:$C$85,3,0))</f>
        <v>3.5169999999999999</v>
      </c>
      <c r="X85"/>
      <c r="Y85" s="20"/>
      <c r="AA85" s="11"/>
    </row>
    <row r="86" spans="1:28" s="17" customFormat="1">
      <c r="A86" s="12">
        <v>12</v>
      </c>
      <c r="B86" s="35" t="s">
        <v>22</v>
      </c>
      <c r="C86" s="12" t="s">
        <v>15</v>
      </c>
      <c r="D86" s="8">
        <f>D24</f>
        <v>16</v>
      </c>
      <c r="E86" s="23"/>
      <c r="F86" s="23"/>
      <c r="G86" s="8"/>
      <c r="H86" s="8"/>
      <c r="I86" s="169" t="s">
        <v>69</v>
      </c>
      <c r="J86" s="8" t="str">
        <f>IF(ISNA(VLOOKUP(I86,Матер!$A$2:$C$85,2,0)),0,VLOOKUP(I86,Матер!$A$2:$C$85,2,0))</f>
        <v>шт</v>
      </c>
      <c r="K86" s="10">
        <f>+D86</f>
        <v>16</v>
      </c>
      <c r="L86" s="167" t="s">
        <v>208</v>
      </c>
      <c r="M86" s="20"/>
      <c r="N86" s="20"/>
      <c r="O86" s="20"/>
      <c r="P86" s="20"/>
      <c r="Q86" s="20">
        <f t="shared" si="8"/>
        <v>0</v>
      </c>
      <c r="R86" s="20">
        <f t="shared" si="2"/>
        <v>0</v>
      </c>
      <c r="S86" s="20">
        <f t="shared" si="3"/>
        <v>0</v>
      </c>
      <c r="T86" s="20">
        <f t="shared" si="4"/>
        <v>0</v>
      </c>
      <c r="U86" s="20">
        <f t="shared" si="5"/>
        <v>0</v>
      </c>
      <c r="V86" s="20"/>
      <c r="W86"/>
      <c r="X86"/>
      <c r="Y86" s="20"/>
      <c r="AA86" s="11"/>
    </row>
    <row r="87" spans="1:28" s="17" customFormat="1">
      <c r="A87" s="12"/>
      <c r="B87" s="35"/>
      <c r="C87" s="12"/>
      <c r="D87" s="8"/>
      <c r="E87" s="23"/>
      <c r="F87" s="23"/>
      <c r="G87" s="8"/>
      <c r="H87" s="8"/>
      <c r="I87" s="169" t="s">
        <v>91</v>
      </c>
      <c r="J87" s="8" t="str">
        <f>IF(ISNA(VLOOKUP(I87,Матер!$A$2:$C$85,2,0)),0,VLOOKUP(I87,Матер!$A$2:$C$85,2,0))</f>
        <v>шт</v>
      </c>
      <c r="K87" s="10">
        <f>+D86*2</f>
        <v>32</v>
      </c>
      <c r="L87" s="8" t="s">
        <v>142</v>
      </c>
      <c r="M87" s="20"/>
      <c r="N87" s="20">
        <v>1</v>
      </c>
      <c r="O87" s="20">
        <v>0.125</v>
      </c>
      <c r="P87" s="20"/>
      <c r="Q87" s="20">
        <f t="shared" si="8"/>
        <v>4</v>
      </c>
      <c r="R87" s="20">
        <f t="shared" si="2"/>
        <v>4</v>
      </c>
      <c r="S87" s="20">
        <f t="shared" si="3"/>
        <v>0</v>
      </c>
      <c r="T87" s="20">
        <f t="shared" si="4"/>
        <v>0</v>
      </c>
      <c r="U87" s="20">
        <f t="shared" si="5"/>
        <v>0</v>
      </c>
      <c r="V87" s="20"/>
      <c r="W87"/>
      <c r="X87"/>
      <c r="Y87" s="20"/>
      <c r="AA87" s="11"/>
    </row>
    <row r="88" spans="1:28" s="17" customFormat="1">
      <c r="A88" s="12"/>
      <c r="B88" s="35"/>
      <c r="C88" s="12"/>
      <c r="D88" s="8"/>
      <c r="E88" s="23"/>
      <c r="F88" s="23"/>
      <c r="G88" s="8"/>
      <c r="H88" s="8"/>
      <c r="I88" s="169" t="s">
        <v>70</v>
      </c>
      <c r="J88" s="8" t="str">
        <f>IF(ISNA(VLOOKUP(I88,Матер!$A$2:$C$85,2,0)),0,VLOOKUP(I88,Матер!$A$2:$C$85,2,0))</f>
        <v>шт</v>
      </c>
      <c r="K88" s="10">
        <f>+D86*2</f>
        <v>32</v>
      </c>
      <c r="L88" s="8" t="s">
        <v>142</v>
      </c>
      <c r="M88" s="20"/>
      <c r="N88" s="20">
        <v>1</v>
      </c>
      <c r="O88" s="20">
        <v>1.4999999999999999E-2</v>
      </c>
      <c r="P88" s="20"/>
      <c r="Q88" s="20">
        <f t="shared" si="8"/>
        <v>0.48</v>
      </c>
      <c r="R88" s="20">
        <f t="shared" si="2"/>
        <v>0.48</v>
      </c>
      <c r="S88" s="20">
        <f t="shared" si="3"/>
        <v>0</v>
      </c>
      <c r="T88" s="20">
        <f t="shared" si="4"/>
        <v>0</v>
      </c>
      <c r="U88" s="20">
        <f t="shared" si="5"/>
        <v>0</v>
      </c>
      <c r="V88" s="20"/>
      <c r="W88"/>
      <c r="X88"/>
      <c r="Y88" s="20"/>
      <c r="AA88" s="11"/>
    </row>
    <row r="89" spans="1:28" s="17" customFormat="1" ht="25.5">
      <c r="A89" s="12">
        <v>13</v>
      </c>
      <c r="B89" s="35" t="s">
        <v>203</v>
      </c>
      <c r="C89" s="12" t="s">
        <v>15</v>
      </c>
      <c r="D89" s="16">
        <f>D25</f>
        <v>3</v>
      </c>
      <c r="E89" s="23"/>
      <c r="F89" s="23"/>
      <c r="G89" s="8"/>
      <c r="H89" s="8"/>
      <c r="I89" s="169" t="s">
        <v>57</v>
      </c>
      <c r="J89" s="8" t="s">
        <v>170</v>
      </c>
      <c r="K89" s="10">
        <f>D89*15</f>
        <v>45</v>
      </c>
      <c r="L89" s="8" t="s">
        <v>142</v>
      </c>
      <c r="M89" s="20"/>
      <c r="N89" s="20">
        <v>1</v>
      </c>
      <c r="O89" s="132">
        <v>0.26900000000000002</v>
      </c>
      <c r="P89" s="20"/>
      <c r="Q89" s="20">
        <f t="shared" si="8"/>
        <v>12.105</v>
      </c>
      <c r="R89" s="20">
        <f t="shared" si="2"/>
        <v>12.105</v>
      </c>
      <c r="S89" s="20">
        <f t="shared" si="3"/>
        <v>0</v>
      </c>
      <c r="T89" s="20">
        <f t="shared" si="4"/>
        <v>0</v>
      </c>
      <c r="U89" s="20">
        <f t="shared" si="5"/>
        <v>0</v>
      </c>
      <c r="V89" s="157" t="s">
        <v>186</v>
      </c>
      <c r="W89">
        <f>IF(ISNA(VLOOKUP(I89,Матер!$A$2:$C$85,3,0)),0,VLOOKUP(I89,Матер!$A$2:$C$85,3,0))</f>
        <v>68745</v>
      </c>
      <c r="X89"/>
      <c r="Y89" s="71" t="s">
        <v>80</v>
      </c>
      <c r="Z89" s="17">
        <v>261.55</v>
      </c>
      <c r="AA89" s="11">
        <f>+Z89*D89/1000</f>
        <v>0.78465000000000007</v>
      </c>
    </row>
    <row r="90" spans="1:28" s="17" customFormat="1">
      <c r="A90" s="12"/>
      <c r="B90" s="35"/>
      <c r="C90" s="12"/>
      <c r="D90" s="16"/>
      <c r="E90" s="23"/>
      <c r="F90" s="23"/>
      <c r="G90" s="8"/>
      <c r="H90" s="8"/>
      <c r="I90" s="169" t="s">
        <v>91</v>
      </c>
      <c r="J90" s="8" t="str">
        <f>IF(ISNA(VLOOKUP(I90,Матер!$A$2:$C$85,2,0)),0,VLOOKUP(I90,Матер!$A$2:$C$85,2,0))</f>
        <v>шт</v>
      </c>
      <c r="K90" s="10">
        <f>+D89*8</f>
        <v>24</v>
      </c>
      <c r="L90" s="8" t="s">
        <v>142</v>
      </c>
      <c r="M90" s="20"/>
      <c r="N90" s="20">
        <v>1</v>
      </c>
      <c r="O90" s="20">
        <v>0.125</v>
      </c>
      <c r="P90" s="20"/>
      <c r="Q90" s="20">
        <f t="shared" si="8"/>
        <v>3</v>
      </c>
      <c r="R90" s="20">
        <f t="shared" si="2"/>
        <v>3</v>
      </c>
      <c r="S90" s="20">
        <f t="shared" si="3"/>
        <v>0</v>
      </c>
      <c r="T90" s="20">
        <f t="shared" si="4"/>
        <v>0</v>
      </c>
      <c r="U90" s="20">
        <f t="shared" si="5"/>
        <v>0</v>
      </c>
      <c r="V90" s="20"/>
      <c r="W90">
        <f>IF(ISNA(VLOOKUP(I90,Матер!$A$2:$C$85,3,0)),0,VLOOKUP(I90,Матер!$A$2:$C$85,3,0))</f>
        <v>98</v>
      </c>
      <c r="X90"/>
      <c r="Y90" s="71"/>
      <c r="AA90" s="11"/>
    </row>
    <row r="91" spans="1:28" s="17" customFormat="1">
      <c r="A91" s="12"/>
      <c r="B91" s="35"/>
      <c r="C91" s="12"/>
      <c r="D91" s="16"/>
      <c r="E91" s="23"/>
      <c r="F91" s="23"/>
      <c r="G91" s="8"/>
      <c r="H91" s="8"/>
      <c r="I91" s="169" t="s">
        <v>87</v>
      </c>
      <c r="J91" s="8" t="str">
        <f>IF(ISNA(VLOOKUP(I91,Матер!$A$2:$C$85,2,0)),0,VLOOKUP(I91,Матер!$A$2:$C$85,2,0))</f>
        <v>шт</v>
      </c>
      <c r="K91" s="10">
        <f>+D89</f>
        <v>3</v>
      </c>
      <c r="L91" s="8" t="s">
        <v>142</v>
      </c>
      <c r="M91" s="20"/>
      <c r="N91" s="20">
        <v>1</v>
      </c>
      <c r="O91" s="20">
        <v>0.1</v>
      </c>
      <c r="P91" s="20"/>
      <c r="Q91" s="20">
        <f t="shared" si="8"/>
        <v>0.30000000000000004</v>
      </c>
      <c r="R91" s="20">
        <f t="shared" ref="R91:R102" si="9">IF(N91=$R$12,Q91,0)</f>
        <v>0.30000000000000004</v>
      </c>
      <c r="S91" s="20">
        <f t="shared" ref="S91:S103" si="10">IF(N91=$S$12,Q91,0)</f>
        <v>0</v>
      </c>
      <c r="T91" s="20">
        <f t="shared" ref="T91:T103" si="11">IF(N91=$T$12,Q91,0)</f>
        <v>0</v>
      </c>
      <c r="U91" s="20">
        <f t="shared" ref="U91:U103" si="12">IF(N91=$U$12,Q91,0)</f>
        <v>0</v>
      </c>
      <c r="V91" s="20"/>
      <c r="W91">
        <f>IF(ISNA(VLOOKUP(I91,Матер!$A$2:$C$85,3,0)),0,VLOOKUP(I91,Матер!$A$2:$C$85,3,0))</f>
        <v>20</v>
      </c>
      <c r="X91"/>
      <c r="Y91" s="71"/>
      <c r="AA91" s="11"/>
    </row>
    <row r="92" spans="1:28" s="17" customFormat="1" ht="12.75" customHeight="1">
      <c r="A92" s="12"/>
      <c r="B92" s="35"/>
      <c r="C92" s="12"/>
      <c r="D92" s="16"/>
      <c r="E92" s="23"/>
      <c r="F92" s="23"/>
      <c r="G92" s="8"/>
      <c r="H92" s="8"/>
      <c r="I92" s="169" t="s">
        <v>74</v>
      </c>
      <c r="J92" s="8" t="str">
        <f>IF(ISNA(VLOOKUP(I92,Матер!$A$2:$C$85,2,0)),0,VLOOKUP(I92,Матер!$A$2:$C$85,2,0))</f>
        <v>упак/50м</v>
      </c>
      <c r="K92" s="8">
        <f>(D89*2/50*100)/100</f>
        <v>0.12</v>
      </c>
      <c r="L92" s="8" t="s">
        <v>142</v>
      </c>
      <c r="M92" s="20"/>
      <c r="N92" s="20">
        <v>1</v>
      </c>
      <c r="O92" s="20">
        <v>3.9</v>
      </c>
      <c r="P92" s="20"/>
      <c r="Q92" s="20">
        <f t="shared" si="8"/>
        <v>0.46799999999999997</v>
      </c>
      <c r="R92" s="20">
        <f t="shared" si="9"/>
        <v>0.46799999999999997</v>
      </c>
      <c r="S92" s="20">
        <f t="shared" si="10"/>
        <v>0</v>
      </c>
      <c r="T92" s="20">
        <f t="shared" si="11"/>
        <v>0</v>
      </c>
      <c r="U92" s="20">
        <f t="shared" si="12"/>
        <v>0</v>
      </c>
      <c r="V92" s="20"/>
      <c r="W92">
        <f>IF(ISNA(VLOOKUP(I92,Матер!$A$2:$C$85,3,0)),0,VLOOKUP(I92,Матер!$A$2:$C$85,3,0))</f>
        <v>1500</v>
      </c>
      <c r="X92"/>
      <c r="Y92" s="20"/>
      <c r="AA92" s="11">
        <f>+Z92*D92</f>
        <v>0</v>
      </c>
    </row>
    <row r="93" spans="1:28" s="17" customFormat="1" ht="25.5" customHeight="1">
      <c r="A93" s="12"/>
      <c r="B93" s="35"/>
      <c r="C93" s="12"/>
      <c r="D93" s="16"/>
      <c r="E93" s="23"/>
      <c r="F93" s="23"/>
      <c r="G93" s="8"/>
      <c r="H93" s="8"/>
      <c r="I93" s="169" t="s">
        <v>72</v>
      </c>
      <c r="J93" s="8" t="str">
        <f>IF(ISNA(VLOOKUP(I93,Матер!$A$2:$C$85,2,0)),0,VLOOKUP(I93,Матер!$A$2:$C$85,2,0))</f>
        <v>упак/100шт</v>
      </c>
      <c r="K93" s="8">
        <f>+D89*0.02</f>
        <v>0.06</v>
      </c>
      <c r="L93" s="8" t="s">
        <v>142</v>
      </c>
      <c r="M93" s="20"/>
      <c r="N93" s="20">
        <v>1</v>
      </c>
      <c r="O93" s="20">
        <v>1</v>
      </c>
      <c r="P93" s="20"/>
      <c r="Q93" s="20">
        <f t="shared" si="8"/>
        <v>0.06</v>
      </c>
      <c r="R93" s="20">
        <f t="shared" si="9"/>
        <v>0.06</v>
      </c>
      <c r="S93" s="20">
        <f t="shared" si="10"/>
        <v>0</v>
      </c>
      <c r="T93" s="20">
        <f t="shared" si="11"/>
        <v>0</v>
      </c>
      <c r="U93" s="20">
        <f t="shared" si="12"/>
        <v>0</v>
      </c>
      <c r="V93" s="20"/>
      <c r="W93">
        <f>IF(ISNA(VLOOKUP(I93,Матер!$A$2:$C$85,3,0)),0,VLOOKUP(I93,Матер!$A$2:$C$85,3,0))</f>
        <v>600</v>
      </c>
      <c r="X93"/>
      <c r="Y93" s="20"/>
      <c r="AA93" s="11">
        <f>+Z93*D93</f>
        <v>0</v>
      </c>
    </row>
    <row r="94" spans="1:28" s="17" customFormat="1">
      <c r="A94" s="12"/>
      <c r="B94" s="35"/>
      <c r="C94" s="12"/>
      <c r="D94" s="16"/>
      <c r="E94" s="23"/>
      <c r="F94" s="23"/>
      <c r="G94" s="8"/>
      <c r="H94" s="8"/>
      <c r="I94" s="169" t="s">
        <v>38</v>
      </c>
      <c r="J94" s="8" t="str">
        <f>IF(ISNA(VLOOKUP(I94,Матер!$A$2:$C$85,2,0)),0,VLOOKUP(I94,Матер!$A$2:$C$85,2,0))</f>
        <v>шт</v>
      </c>
      <c r="K94" s="10">
        <f>+D89*2</f>
        <v>6</v>
      </c>
      <c r="L94" s="8" t="s">
        <v>142</v>
      </c>
      <c r="M94" s="20"/>
      <c r="N94" s="20">
        <v>1</v>
      </c>
      <c r="O94" s="20">
        <v>0.46</v>
      </c>
      <c r="P94" s="20"/>
      <c r="Q94" s="20">
        <f t="shared" si="8"/>
        <v>2.7600000000000002</v>
      </c>
      <c r="R94" s="20">
        <f t="shared" si="9"/>
        <v>2.7600000000000002</v>
      </c>
      <c r="S94" s="20">
        <f t="shared" si="10"/>
        <v>0</v>
      </c>
      <c r="T94" s="20">
        <f t="shared" si="11"/>
        <v>0</v>
      </c>
      <c r="U94" s="20">
        <f t="shared" si="12"/>
        <v>0</v>
      </c>
      <c r="V94" s="20"/>
      <c r="W94">
        <f>IF(ISNA(VLOOKUP(I94,Матер!$A$2:$C$85,3,0)),0,VLOOKUP(I94,Матер!$A$2:$C$85,3,0))</f>
        <v>66.81</v>
      </c>
      <c r="X94"/>
      <c r="Y94" s="20"/>
      <c r="AA94" s="11">
        <f>+Z94*D94</f>
        <v>0</v>
      </c>
    </row>
    <row r="95" spans="1:28" s="17" customFormat="1">
      <c r="A95" s="12"/>
      <c r="B95" s="35"/>
      <c r="C95" s="12"/>
      <c r="D95" s="16"/>
      <c r="E95" s="23"/>
      <c r="F95" s="23"/>
      <c r="G95" s="8"/>
      <c r="H95" s="8"/>
      <c r="I95" s="169" t="s">
        <v>70</v>
      </c>
      <c r="J95" s="8" t="str">
        <f>IF(ISNA(VLOOKUP(I95,Матер!$A$2:$C$85,2,0)),0,VLOOKUP(I95,Матер!$A$2:$C$85,2,0))</f>
        <v>шт</v>
      </c>
      <c r="K95" s="10">
        <f>+D89*6</f>
        <v>18</v>
      </c>
      <c r="L95" s="8" t="s">
        <v>142</v>
      </c>
      <c r="M95" s="20"/>
      <c r="N95" s="20">
        <v>1</v>
      </c>
      <c r="O95" s="20">
        <v>1.4999999999999999E-2</v>
      </c>
      <c r="P95" s="20"/>
      <c r="Q95" s="20">
        <f t="shared" si="8"/>
        <v>0.27</v>
      </c>
      <c r="R95" s="20">
        <f t="shared" si="9"/>
        <v>0.27</v>
      </c>
      <c r="S95" s="20">
        <f t="shared" si="10"/>
        <v>0</v>
      </c>
      <c r="T95" s="20">
        <f t="shared" si="11"/>
        <v>0</v>
      </c>
      <c r="U95" s="20">
        <f t="shared" si="12"/>
        <v>0</v>
      </c>
      <c r="V95" s="20"/>
      <c r="W95">
        <f>IF(ISNA(VLOOKUP(I95,Матер!$A$2:$C$85,3,0)),0,VLOOKUP(I95,Матер!$A$2:$C$85,3,0))</f>
        <v>3.5169999999999999</v>
      </c>
      <c r="X95"/>
      <c r="Y95" s="20"/>
      <c r="AA95" s="11"/>
    </row>
    <row r="96" spans="1:28" s="17" customFormat="1">
      <c r="A96" s="12">
        <v>14</v>
      </c>
      <c r="B96" s="35" t="s">
        <v>22</v>
      </c>
      <c r="C96" s="12" t="s">
        <v>15</v>
      </c>
      <c r="D96" s="8">
        <f>D26</f>
        <v>9</v>
      </c>
      <c r="E96" s="23"/>
      <c r="F96" s="23"/>
      <c r="G96" s="8"/>
      <c r="H96" s="8"/>
      <c r="I96" s="169" t="s">
        <v>69</v>
      </c>
      <c r="J96" s="8" t="str">
        <f>IF(ISNA(VLOOKUP(I96,Матер!$A$2:$C$85,2,0)),0,VLOOKUP(I96,Матер!$A$2:$C$85,2,0))</f>
        <v>шт</v>
      </c>
      <c r="K96" s="10">
        <f>+D96</f>
        <v>9</v>
      </c>
      <c r="L96" s="167" t="s">
        <v>208</v>
      </c>
      <c r="M96" s="20"/>
      <c r="N96" s="20"/>
      <c r="O96" s="20"/>
      <c r="P96" s="20"/>
      <c r="Q96" s="20">
        <f t="shared" si="8"/>
        <v>0</v>
      </c>
      <c r="R96" s="20">
        <f t="shared" si="9"/>
        <v>0</v>
      </c>
      <c r="S96" s="20">
        <f t="shared" si="10"/>
        <v>0</v>
      </c>
      <c r="T96" s="20">
        <f t="shared" si="11"/>
        <v>0</v>
      </c>
      <c r="U96" s="20">
        <f t="shared" si="12"/>
        <v>0</v>
      </c>
      <c r="V96" s="20"/>
      <c r="W96">
        <f>IF(ISNA(VLOOKUP(I96,Матер!$A$2:$C$85,3,0)),0,VLOOKUP(I96,Матер!$A$2:$C$85,3,0))</f>
        <v>0</v>
      </c>
      <c r="X96"/>
      <c r="Y96" s="71" t="s">
        <v>83</v>
      </c>
      <c r="Z96" s="32">
        <v>101.25</v>
      </c>
      <c r="AA96" s="11">
        <f>+Z96*D96/1000</f>
        <v>0.91125</v>
      </c>
      <c r="AB96" s="17">
        <f>SUM(AA89:AA96)</f>
        <v>1.6959</v>
      </c>
    </row>
    <row r="97" spans="1:27" s="17" customFormat="1">
      <c r="A97" s="12"/>
      <c r="B97" s="35"/>
      <c r="C97" s="12"/>
      <c r="D97" s="8"/>
      <c r="E97" s="23"/>
      <c r="F97" s="23"/>
      <c r="G97" s="8"/>
      <c r="H97" s="8"/>
      <c r="I97" s="169" t="s">
        <v>91</v>
      </c>
      <c r="J97" s="8" t="str">
        <f>IF(ISNA(VLOOKUP(I97,Матер!$A$2:$C$85,2,0)),0,VLOOKUP(I97,Матер!$A$2:$C$85,2,0))</f>
        <v>шт</v>
      </c>
      <c r="K97" s="10">
        <f>+D96*2</f>
        <v>18</v>
      </c>
      <c r="L97" s="8" t="s">
        <v>142</v>
      </c>
      <c r="M97" s="20"/>
      <c r="N97" s="20">
        <v>1</v>
      </c>
      <c r="O97" s="20">
        <v>0.125</v>
      </c>
      <c r="P97" s="20"/>
      <c r="Q97" s="20">
        <f t="shared" si="8"/>
        <v>2.25</v>
      </c>
      <c r="R97" s="20">
        <f t="shared" si="9"/>
        <v>2.25</v>
      </c>
      <c r="S97" s="20">
        <f t="shared" si="10"/>
        <v>0</v>
      </c>
      <c r="T97" s="20">
        <f t="shared" si="11"/>
        <v>0</v>
      </c>
      <c r="U97" s="20">
        <f t="shared" si="12"/>
        <v>0</v>
      </c>
      <c r="V97" s="20"/>
      <c r="W97">
        <f>IF(ISNA(VLOOKUP(I97,Матер!$A$2:$C$85,3,0)),0,VLOOKUP(I97,Матер!$A$2:$C$85,3,0))</f>
        <v>98</v>
      </c>
      <c r="X97"/>
      <c r="Y97" s="20"/>
      <c r="AA97" s="11">
        <f>+Z97*D97</f>
        <v>0</v>
      </c>
    </row>
    <row r="98" spans="1:27" s="17" customFormat="1">
      <c r="A98" s="12"/>
      <c r="B98" s="35"/>
      <c r="C98" s="12"/>
      <c r="D98" s="8"/>
      <c r="E98" s="23"/>
      <c r="F98" s="23"/>
      <c r="G98" s="8"/>
      <c r="H98" s="8"/>
      <c r="I98" s="169" t="s">
        <v>70</v>
      </c>
      <c r="J98" s="8" t="str">
        <f>IF(ISNA(VLOOKUP(I98,Матер!$A$2:$C$85,2,0)),0,VLOOKUP(I98,Матер!$A$2:$C$85,2,0))</f>
        <v>шт</v>
      </c>
      <c r="K98" s="10">
        <f>+D96*2</f>
        <v>18</v>
      </c>
      <c r="L98" s="8" t="s">
        <v>142</v>
      </c>
      <c r="M98" s="20"/>
      <c r="N98" s="20">
        <v>1</v>
      </c>
      <c r="O98" s="20">
        <v>1.4999999999999999E-2</v>
      </c>
      <c r="P98" s="20"/>
      <c r="Q98" s="20">
        <f t="shared" si="8"/>
        <v>0.27</v>
      </c>
      <c r="R98" s="20">
        <f t="shared" si="9"/>
        <v>0.27</v>
      </c>
      <c r="S98" s="20">
        <f t="shared" si="10"/>
        <v>0</v>
      </c>
      <c r="T98" s="20">
        <f t="shared" si="11"/>
        <v>0</v>
      </c>
      <c r="U98" s="20">
        <f t="shared" si="12"/>
        <v>0</v>
      </c>
      <c r="V98" s="20"/>
      <c r="W98">
        <f>IF(ISNA(VLOOKUP(I98,Матер!$A$2:$C$85,3,0)),0,VLOOKUP(I98,Матер!$A$2:$C$85,3,0))</f>
        <v>3.5169999999999999</v>
      </c>
      <c r="X98" t="e">
        <f>SUM(#REF!)</f>
        <v>#REF!</v>
      </c>
      <c r="Y98" s="20"/>
      <c r="AA98" s="11">
        <f>+Z98*D98</f>
        <v>0</v>
      </c>
    </row>
    <row r="99" spans="1:27" s="17" customFormat="1" ht="38.25">
      <c r="A99" s="12">
        <v>15</v>
      </c>
      <c r="B99" s="35" t="s">
        <v>23</v>
      </c>
      <c r="C99" s="12" t="s">
        <v>25</v>
      </c>
      <c r="D99" s="8">
        <f>D25</f>
        <v>3</v>
      </c>
      <c r="E99" s="23"/>
      <c r="F99" s="23"/>
      <c r="G99" s="8"/>
      <c r="H99" s="8"/>
      <c r="I99" s="169" t="s">
        <v>88</v>
      </c>
      <c r="J99" s="8" t="str">
        <f>IF(ISNA(VLOOKUP(I99,Матер!$A$2:$C$85,2,0)),0,VLOOKUP(I99,Матер!$A$2:$C$85,2,0))</f>
        <v>шт</v>
      </c>
      <c r="K99" s="10">
        <f>D99*3</f>
        <v>9</v>
      </c>
      <c r="L99" s="8" t="s">
        <v>142</v>
      </c>
      <c r="M99" s="20"/>
      <c r="N99" s="20">
        <v>1</v>
      </c>
      <c r="O99" s="20">
        <v>0.4</v>
      </c>
      <c r="P99" s="20"/>
      <c r="Q99" s="20">
        <f t="shared" si="8"/>
        <v>3.6</v>
      </c>
      <c r="R99" s="20">
        <f t="shared" si="9"/>
        <v>3.6</v>
      </c>
      <c r="S99" s="20">
        <f t="shared" si="10"/>
        <v>0</v>
      </c>
      <c r="T99" s="20">
        <f t="shared" si="11"/>
        <v>0</v>
      </c>
      <c r="U99" s="20">
        <f t="shared" si="12"/>
        <v>0</v>
      </c>
      <c r="V99" s="20"/>
      <c r="W99">
        <f>IF(ISNA(VLOOKUP(I99,Матер!$A$2:$C$85,3,0)),0,VLOOKUP(I99,Матер!$A$2:$C$85,3,0))</f>
        <v>791.3</v>
      </c>
      <c r="X99"/>
      <c r="Y99" s="71" t="s">
        <v>79</v>
      </c>
      <c r="Z99" s="17">
        <v>539.23</v>
      </c>
      <c r="AA99" s="11">
        <f>+Z99*D99/1000</f>
        <v>1.6176900000000001</v>
      </c>
    </row>
    <row r="100" spans="1:27" s="17" customFormat="1">
      <c r="A100" s="12"/>
      <c r="B100" s="35"/>
      <c r="C100" s="12"/>
      <c r="D100" s="8"/>
      <c r="E100" s="23"/>
      <c r="F100" s="23"/>
      <c r="G100" s="8"/>
      <c r="H100" s="8"/>
      <c r="I100" s="169" t="s">
        <v>46</v>
      </c>
      <c r="J100" s="8" t="s">
        <v>16</v>
      </c>
      <c r="K100" s="22">
        <f>D99*9.5*0.257</f>
        <v>7.3245000000000005</v>
      </c>
      <c r="L100" s="8" t="s">
        <v>142</v>
      </c>
      <c r="M100" s="20"/>
      <c r="N100" s="20">
        <v>1</v>
      </c>
      <c r="O100" s="22">
        <v>1</v>
      </c>
      <c r="P100" s="20"/>
      <c r="Q100" s="77">
        <f t="shared" si="8"/>
        <v>7.3245000000000005</v>
      </c>
      <c r="R100" s="77">
        <f t="shared" si="9"/>
        <v>7.3245000000000005</v>
      </c>
      <c r="S100" s="20">
        <f t="shared" si="10"/>
        <v>0</v>
      </c>
      <c r="T100" s="20">
        <f t="shared" si="11"/>
        <v>0</v>
      </c>
      <c r="U100" s="20">
        <f t="shared" si="12"/>
        <v>0</v>
      </c>
      <c r="V100" s="20"/>
      <c r="W100">
        <f>IF(ISNA(VLOOKUP(I100,Матер!$A$2:$C$85,3,0)),0,VLOOKUP(I100,Матер!$A$2:$C$85,3,0))</f>
        <v>35580</v>
      </c>
      <c r="X100"/>
      <c r="Y100" s="20"/>
      <c r="AA100" s="11">
        <f>+Z100*D100</f>
        <v>0</v>
      </c>
    </row>
    <row r="101" spans="1:27" s="17" customFormat="1">
      <c r="A101" s="12"/>
      <c r="B101" s="35"/>
      <c r="C101" s="12"/>
      <c r="D101" s="8"/>
      <c r="E101" s="23"/>
      <c r="F101" s="23"/>
      <c r="G101" s="8"/>
      <c r="H101" s="8"/>
      <c r="I101" s="169" t="s">
        <v>45</v>
      </c>
      <c r="J101" s="8" t="str">
        <f>IF(ISNA(VLOOKUP(I101,Матер!$A$2:$C$85,2,0)),0,VLOOKUP(I101,Матер!$A$2:$C$85,2,0))</f>
        <v>шт</v>
      </c>
      <c r="K101" s="10">
        <f>D99*3</f>
        <v>9</v>
      </c>
      <c r="L101" s="8" t="s">
        <v>142</v>
      </c>
      <c r="M101" s="20"/>
      <c r="N101" s="20">
        <v>1</v>
      </c>
      <c r="O101" s="20">
        <v>0.42</v>
      </c>
      <c r="P101" s="20"/>
      <c r="Q101" s="20">
        <f t="shared" si="8"/>
        <v>3.78</v>
      </c>
      <c r="R101" s="20">
        <f t="shared" si="9"/>
        <v>3.78</v>
      </c>
      <c r="S101" s="20">
        <f t="shared" si="10"/>
        <v>0</v>
      </c>
      <c r="T101" s="20">
        <f t="shared" si="11"/>
        <v>0</v>
      </c>
      <c r="U101" s="20">
        <f t="shared" si="12"/>
        <v>0</v>
      </c>
      <c r="V101" s="20"/>
      <c r="W101">
        <f>IF(ISNA(VLOOKUP(I101,Матер!$A$2:$C$85,3,0)),0,VLOOKUP(I101,Матер!$A$2:$C$85,3,0))</f>
        <v>74.13</v>
      </c>
      <c r="X101"/>
      <c r="Y101" s="20"/>
      <c r="AA101" s="11">
        <f>+Z101*D101</f>
        <v>0</v>
      </c>
    </row>
    <row r="102" spans="1:27" s="17" customFormat="1">
      <c r="A102" s="12"/>
      <c r="B102" s="35"/>
      <c r="C102" s="12"/>
      <c r="D102" s="16"/>
      <c r="E102" s="23"/>
      <c r="F102" s="23"/>
      <c r="G102" s="8"/>
      <c r="H102" s="8"/>
      <c r="I102" s="169" t="s">
        <v>70</v>
      </c>
      <c r="J102" s="8" t="str">
        <f>IF(ISNA(VLOOKUP(I102,Матер!$A$2:$C$85,2,0)),0,VLOOKUP(I102,Матер!$A$2:$C$85,2,0))</f>
        <v>шт</v>
      </c>
      <c r="K102" s="10">
        <f>K101*4</f>
        <v>36</v>
      </c>
      <c r="L102" s="8" t="s">
        <v>142</v>
      </c>
      <c r="M102" s="20"/>
      <c r="N102" s="20">
        <v>1</v>
      </c>
      <c r="O102" s="20">
        <v>1.4999999999999999E-2</v>
      </c>
      <c r="P102" s="20"/>
      <c r="Q102" s="20">
        <f t="shared" si="8"/>
        <v>0.54</v>
      </c>
      <c r="R102" s="20">
        <f t="shared" si="9"/>
        <v>0.54</v>
      </c>
      <c r="S102" s="20">
        <f t="shared" si="10"/>
        <v>0</v>
      </c>
      <c r="T102" s="20">
        <f t="shared" si="11"/>
        <v>0</v>
      </c>
      <c r="U102" s="20">
        <f t="shared" si="12"/>
        <v>0</v>
      </c>
      <c r="V102" s="20"/>
      <c r="W102">
        <f>IF(ISNA(VLOOKUP(I102,Матер!$A$2:$C$85,3,0)),0,VLOOKUP(I102,Матер!$A$2:$C$85,3,0))</f>
        <v>3.5169999999999999</v>
      </c>
      <c r="X102" t="e">
        <f>SUM(#REF!)</f>
        <v>#REF!</v>
      </c>
      <c r="Y102" s="20"/>
      <c r="AA102" s="11">
        <f>+Z102*D102</f>
        <v>0</v>
      </c>
    </row>
    <row r="103" spans="1:27" s="17" customFormat="1" ht="28.5">
      <c r="A103" s="12">
        <v>16</v>
      </c>
      <c r="B103" s="160" t="s">
        <v>161</v>
      </c>
      <c r="C103" s="39" t="s">
        <v>15</v>
      </c>
      <c r="D103" s="39">
        <f>+D13+D19</f>
        <v>21</v>
      </c>
      <c r="E103" s="23"/>
      <c r="F103" s="23"/>
      <c r="G103" s="8"/>
      <c r="H103" s="8"/>
      <c r="I103" s="18"/>
      <c r="J103" s="172"/>
      <c r="K103" s="10"/>
      <c r="L103" s="8" t="s">
        <v>142</v>
      </c>
      <c r="M103" s="20"/>
      <c r="N103" s="20"/>
      <c r="O103" s="20"/>
      <c r="P103" s="20"/>
      <c r="Q103" s="20">
        <f t="shared" si="8"/>
        <v>0</v>
      </c>
      <c r="R103" s="20">
        <f>IF(N103=$R$12,Q103,0)</f>
        <v>0</v>
      </c>
      <c r="S103" s="20">
        <f t="shared" si="10"/>
        <v>0</v>
      </c>
      <c r="T103" s="20">
        <f t="shared" si="11"/>
        <v>0</v>
      </c>
      <c r="U103" s="20">
        <f t="shared" si="12"/>
        <v>0</v>
      </c>
      <c r="V103" s="20"/>
      <c r="W103">
        <f>IF(ISNA(VLOOKUP(I103,Y$149:AA$152,3,0)),0,VLOOKUP(I103,Y$149:AA$152,3,0))</f>
        <v>0</v>
      </c>
      <c r="X103"/>
      <c r="Y103" s="20"/>
    </row>
    <row r="104" spans="1:27" s="17" customFormat="1" ht="15">
      <c r="A104" s="262" t="s">
        <v>187</v>
      </c>
      <c r="B104" s="263"/>
      <c r="C104" s="263"/>
      <c r="D104" s="263"/>
      <c r="E104" s="263"/>
      <c r="F104" s="263"/>
      <c r="G104" s="263"/>
      <c r="H104" s="263"/>
      <c r="I104" s="263"/>
      <c r="J104" s="263"/>
      <c r="K104" s="263"/>
      <c r="L104" s="264"/>
      <c r="M104" s="69"/>
      <c r="N104" s="69"/>
      <c r="O104" s="69"/>
      <c r="P104" s="69"/>
      <c r="Q104" s="123">
        <f>+SUM(Q28:Q103)</f>
        <v>31631.612279999994</v>
      </c>
      <c r="R104" s="123">
        <f>+SUM(R28:R103)</f>
        <v>31519.212279999992</v>
      </c>
      <c r="S104" s="123">
        <f>+SUM(S28:S103)</f>
        <v>0</v>
      </c>
      <c r="T104" s="123">
        <f>+SUM(T28:T103)</f>
        <v>112.4</v>
      </c>
      <c r="U104" s="123">
        <f>+SUM(U28:U103)</f>
        <v>0</v>
      </c>
      <c r="V104" s="123"/>
      <c r="W104" s="20"/>
      <c r="X104" s="20" t="e">
        <f>SUM(X29:X103)</f>
        <v>#REF!</v>
      </c>
      <c r="Y104" s="20"/>
      <c r="AA104" s="77">
        <f>SUM(AA26:AA103)</f>
        <v>56.6172786337792</v>
      </c>
    </row>
    <row r="105" spans="1:27" s="17" customFormat="1" ht="15">
      <c r="A105" s="116" t="s">
        <v>189</v>
      </c>
      <c r="B105" s="276" t="s">
        <v>151</v>
      </c>
      <c r="C105" s="277"/>
      <c r="D105" s="277"/>
      <c r="E105" s="277"/>
      <c r="F105" s="277"/>
      <c r="G105" s="277"/>
      <c r="H105" s="277"/>
      <c r="I105" s="277"/>
      <c r="J105" s="277"/>
      <c r="K105" s="277"/>
      <c r="L105" s="278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20"/>
      <c r="X105" s="20"/>
      <c r="Y105" s="20"/>
      <c r="AA105" s="77"/>
    </row>
    <row r="106" spans="1:27" s="17" customFormat="1" ht="28.5">
      <c r="A106" s="116" t="s">
        <v>193</v>
      </c>
      <c r="B106" s="160" t="s">
        <v>147</v>
      </c>
      <c r="C106" s="12" t="s">
        <v>156</v>
      </c>
      <c r="D106" s="16">
        <f>+R120/1000</f>
        <v>30.68</v>
      </c>
      <c r="E106" s="23"/>
      <c r="F106" s="23"/>
      <c r="G106" s="8"/>
      <c r="H106" s="8"/>
      <c r="I106" s="18"/>
      <c r="J106" s="172"/>
      <c r="K106" s="10"/>
      <c r="L106" s="8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20"/>
      <c r="X106" s="20"/>
      <c r="Y106" s="20"/>
      <c r="AA106" s="77"/>
    </row>
    <row r="107" spans="1:27" s="17" customFormat="1" ht="42.75">
      <c r="A107" s="116" t="s">
        <v>188</v>
      </c>
      <c r="B107" s="160" t="s">
        <v>148</v>
      </c>
      <c r="C107" s="12" t="s">
        <v>156</v>
      </c>
      <c r="D107" s="64">
        <f>+R121/1000</f>
        <v>0.83921227999999248</v>
      </c>
      <c r="E107" s="23"/>
      <c r="F107" s="23"/>
      <c r="G107" s="8"/>
      <c r="H107" s="8"/>
      <c r="I107" s="18"/>
      <c r="J107" s="172"/>
      <c r="K107" s="10"/>
      <c r="L107" s="8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20"/>
      <c r="X107" s="20"/>
      <c r="Y107" s="20"/>
      <c r="AA107" s="77"/>
    </row>
    <row r="108" spans="1:27" s="17" customFormat="1" ht="15">
      <c r="A108" s="116" t="s">
        <v>190</v>
      </c>
      <c r="B108" s="276" t="s">
        <v>152</v>
      </c>
      <c r="C108" s="277"/>
      <c r="D108" s="277"/>
      <c r="E108" s="277"/>
      <c r="F108" s="277"/>
      <c r="G108" s="277"/>
      <c r="H108" s="277"/>
      <c r="I108" s="277"/>
      <c r="J108" s="277"/>
      <c r="K108" s="277"/>
      <c r="L108" s="278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20"/>
      <c r="X108" s="20"/>
      <c r="Y108" s="20"/>
      <c r="AA108" s="77"/>
    </row>
    <row r="109" spans="1:27" s="17" customFormat="1" ht="71.25">
      <c r="A109" s="116" t="s">
        <v>191</v>
      </c>
      <c r="B109" s="173" t="str">
        <f>CONCATENATE("Перевозка стоек автомобилями бортовыми грузоподъемностью до 15т, на расстояние до ",F119," км I класс груза")</f>
        <v>Перевозка стоек автомобилями бортовыми грузоподъемностью до 15т, на расстояние до 55 км I класс груза</v>
      </c>
      <c r="C109" s="12" t="s">
        <v>156</v>
      </c>
      <c r="D109" s="16">
        <f>+R120/1000</f>
        <v>30.68</v>
      </c>
      <c r="E109" s="23"/>
      <c r="F109" s="23"/>
      <c r="G109" s="23"/>
      <c r="H109" s="23"/>
      <c r="I109" s="23"/>
      <c r="J109" s="172"/>
      <c r="K109" s="10"/>
      <c r="L109" s="8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20"/>
      <c r="X109" s="20"/>
      <c r="Y109" s="20"/>
      <c r="AA109" s="77"/>
    </row>
    <row r="110" spans="1:27" s="17" customFormat="1" ht="71.25">
      <c r="A110" s="116" t="s">
        <v>192</v>
      </c>
      <c r="B110" s="160" t="str">
        <f>CONCATENATE("Перевозка грузов автомобилями бортовыми грузоподъемностью до 15т, на расстояние до ",F121-30," км I класс груза")</f>
        <v>Перевозка грузов автомобилями бортовыми грузоподъемностью до 15т, на расстояние до 35 км I класс груза</v>
      </c>
      <c r="C110" s="12" t="s">
        <v>156</v>
      </c>
      <c r="D110" s="64">
        <f>(R121+T121)/1000</f>
        <v>0.95161227999999243</v>
      </c>
      <c r="E110" s="32"/>
      <c r="F110" s="23"/>
      <c r="G110" s="8"/>
      <c r="H110" s="8"/>
      <c r="I110" s="8"/>
      <c r="J110" s="172"/>
      <c r="K110" s="10"/>
      <c r="L110" s="8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20"/>
      <c r="X110" s="20"/>
      <c r="Y110" s="20"/>
      <c r="AA110" s="77"/>
    </row>
    <row r="111" spans="1:27" s="17" customFormat="1" ht="15">
      <c r="A111" s="116" t="s">
        <v>194</v>
      </c>
      <c r="B111" s="276" t="s">
        <v>204</v>
      </c>
      <c r="C111" s="277"/>
      <c r="D111" s="277"/>
      <c r="E111" s="277"/>
      <c r="F111" s="277"/>
      <c r="G111" s="277"/>
      <c r="H111" s="277"/>
      <c r="I111" s="277"/>
      <c r="J111" s="277"/>
      <c r="K111" s="277"/>
      <c r="L111" s="278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20"/>
      <c r="X111" s="20"/>
      <c r="Y111" s="20"/>
      <c r="AA111" s="77"/>
    </row>
    <row r="112" spans="1:27" s="17" customFormat="1" ht="42.75">
      <c r="A112" s="116" t="s">
        <v>195</v>
      </c>
      <c r="B112" s="160" t="s">
        <v>149</v>
      </c>
      <c r="C112" s="12" t="s">
        <v>156</v>
      </c>
      <c r="D112" s="16">
        <f>+D106</f>
        <v>30.68</v>
      </c>
      <c r="E112" s="23"/>
      <c r="F112" s="23"/>
      <c r="G112" s="8"/>
      <c r="H112" s="8"/>
      <c r="I112" s="18"/>
      <c r="J112" s="172"/>
      <c r="K112" s="10"/>
      <c r="L112" s="8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20"/>
      <c r="X112" s="20"/>
      <c r="Y112" s="20"/>
      <c r="AA112" s="77"/>
    </row>
    <row r="113" spans="1:27" s="17" customFormat="1" ht="42.75">
      <c r="A113" s="116" t="s">
        <v>196</v>
      </c>
      <c r="B113" s="160" t="s">
        <v>150</v>
      </c>
      <c r="C113" s="12" t="s">
        <v>156</v>
      </c>
      <c r="D113" s="64">
        <f>+D107</f>
        <v>0.83921227999999248</v>
      </c>
      <c r="E113" s="23"/>
      <c r="F113" s="23"/>
      <c r="G113" s="8"/>
      <c r="H113" s="8"/>
      <c r="I113" s="18"/>
      <c r="J113" s="172"/>
      <c r="K113" s="10"/>
      <c r="L113" s="8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20"/>
      <c r="X113" s="20"/>
      <c r="Y113" s="20"/>
      <c r="AA113" s="77"/>
    </row>
    <row r="114" spans="1:27" s="17" customFormat="1" ht="15" customHeight="1">
      <c r="A114" s="116" t="s">
        <v>197</v>
      </c>
      <c r="B114" s="276" t="s">
        <v>153</v>
      </c>
      <c r="C114" s="277"/>
      <c r="D114" s="277"/>
      <c r="E114" s="277"/>
      <c r="F114" s="277"/>
      <c r="G114" s="277"/>
      <c r="H114" s="277"/>
      <c r="I114" s="277"/>
      <c r="J114" s="277"/>
      <c r="K114" s="277"/>
      <c r="L114" s="278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20"/>
      <c r="X114" s="20"/>
      <c r="Y114" s="20"/>
      <c r="AA114" s="77"/>
    </row>
    <row r="115" spans="1:27" s="17" customFormat="1" ht="71.25">
      <c r="A115" s="116" t="s">
        <v>198</v>
      </c>
      <c r="B115" s="160" t="s">
        <v>154</v>
      </c>
      <c r="C115" s="12" t="s">
        <v>156</v>
      </c>
      <c r="D115" s="64">
        <f>+P120/1000</f>
        <v>11.5</v>
      </c>
      <c r="E115" s="23"/>
      <c r="F115" s="23"/>
      <c r="G115" s="8"/>
      <c r="H115" s="8"/>
      <c r="I115" s="18"/>
      <c r="J115" s="172"/>
      <c r="K115" s="10"/>
      <c r="L115" s="8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20"/>
      <c r="X115" s="20"/>
      <c r="Y115" s="20"/>
      <c r="AA115" s="77"/>
    </row>
    <row r="116" spans="1:27" s="17" customFormat="1" ht="71.25">
      <c r="A116" s="116" t="s">
        <v>199</v>
      </c>
      <c r="B116" s="160" t="s">
        <v>155</v>
      </c>
      <c r="C116" s="12" t="s">
        <v>156</v>
      </c>
      <c r="D116" s="64">
        <f>+P121/1000</f>
        <v>0.32000799999999979</v>
      </c>
      <c r="E116" s="23"/>
      <c r="F116" s="23"/>
      <c r="G116" s="8"/>
      <c r="H116" s="8"/>
      <c r="I116" s="18"/>
      <c r="J116" s="172"/>
      <c r="K116" s="10"/>
      <c r="L116" s="8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20"/>
      <c r="X116" s="20"/>
      <c r="Y116" s="20"/>
      <c r="AA116" s="77"/>
    </row>
    <row r="117" spans="1:27" s="17" customFormat="1" ht="85.5">
      <c r="A117" s="116" t="s">
        <v>200</v>
      </c>
      <c r="B117" s="173" t="str">
        <f>CONCATENATE("Перевозка строительного мусора автомобилями-самосвалами  грузоподъемностью до 10т, на расстояние до ",F122," км I класс груза")</f>
        <v>Перевозка строительного мусора автомобилями-самосвалами  грузоподъемностью до 10т, на расстояние до 55 км I класс груза</v>
      </c>
      <c r="C117" s="12" t="s">
        <v>156</v>
      </c>
      <c r="D117" s="64">
        <f>+D115+D116</f>
        <v>11.820008</v>
      </c>
      <c r="E117" s="23"/>
      <c r="F117" s="23"/>
      <c r="G117" s="8"/>
      <c r="H117" s="8"/>
      <c r="I117" s="18"/>
      <c r="J117" s="172"/>
      <c r="K117" s="10"/>
      <c r="L117" s="8"/>
      <c r="M117" s="69"/>
      <c r="N117" s="69"/>
      <c r="O117" s="69"/>
      <c r="P117" s="69"/>
      <c r="Q117" s="69"/>
      <c r="R117" s="69">
        <v>1</v>
      </c>
      <c r="S117" s="69">
        <v>2</v>
      </c>
      <c r="T117" s="69">
        <v>3</v>
      </c>
      <c r="U117" s="69">
        <v>4</v>
      </c>
      <c r="V117" s="69"/>
      <c r="W117" s="20"/>
      <c r="X117" s="20"/>
      <c r="Y117" s="20"/>
      <c r="AA117" s="77"/>
    </row>
    <row r="118" spans="1:27" s="17" customFormat="1">
      <c r="A118" s="24"/>
      <c r="B118" s="25" t="s">
        <v>157</v>
      </c>
      <c r="C118" s="26"/>
      <c r="D118" s="27"/>
      <c r="G118" s="20"/>
      <c r="H118" s="20"/>
      <c r="I118" s="28"/>
      <c r="J118" s="29"/>
      <c r="K118" s="30"/>
      <c r="L118" s="20"/>
      <c r="M118" s="69"/>
      <c r="N118" s="69"/>
      <c r="O118" s="69" t="s">
        <v>167</v>
      </c>
      <c r="P118" s="124">
        <f>SUM(P13:P27)</f>
        <v>11820.008</v>
      </c>
      <c r="Q118" s="17" t="s">
        <v>175</v>
      </c>
      <c r="R118" s="133">
        <f>+R104</f>
        <v>31519.212279999992</v>
      </c>
      <c r="S118" s="133">
        <f t="shared" ref="S118:U118" si="13">+S104</f>
        <v>0</v>
      </c>
      <c r="T118" s="133">
        <f t="shared" si="13"/>
        <v>112.4</v>
      </c>
      <c r="U118" s="133">
        <f t="shared" si="13"/>
        <v>0</v>
      </c>
      <c r="V118" s="69"/>
      <c r="W118" s="20"/>
      <c r="X118" s="20"/>
      <c r="Y118" s="20"/>
      <c r="AA118" s="77"/>
    </row>
    <row r="119" spans="1:27" s="17" customFormat="1">
      <c r="A119" s="24"/>
      <c r="B119" s="139" t="s">
        <v>158</v>
      </c>
      <c r="D119" s="27"/>
      <c r="F119" s="162">
        <v>55</v>
      </c>
      <c r="G119" s="140" t="s">
        <v>14</v>
      </c>
      <c r="H119" s="20"/>
      <c r="I119" s="28"/>
      <c r="J119" s="29"/>
      <c r="K119" s="30"/>
      <c r="L119" s="20"/>
      <c r="M119" s="69"/>
      <c r="N119" s="69"/>
      <c r="O119" s="69"/>
      <c r="P119" s="124"/>
      <c r="R119" s="133"/>
      <c r="S119" s="133"/>
      <c r="T119" s="133"/>
      <c r="U119" s="133"/>
      <c r="V119" s="69"/>
      <c r="W119" s="20"/>
      <c r="X119" s="20"/>
      <c r="Y119" s="20"/>
      <c r="AA119" s="77"/>
    </row>
    <row r="120" spans="1:27" s="17" customFormat="1">
      <c r="A120" s="24"/>
      <c r="B120" s="25" t="s">
        <v>159</v>
      </c>
      <c r="D120" s="27"/>
      <c r="F120" s="163">
        <f>+R120/1000</f>
        <v>30.68</v>
      </c>
      <c r="G120" s="140" t="s">
        <v>27</v>
      </c>
      <c r="H120" s="20"/>
      <c r="I120" s="28"/>
      <c r="J120" s="29"/>
      <c r="K120" s="30"/>
      <c r="L120" s="20"/>
      <c r="M120" s="69"/>
      <c r="N120" s="69"/>
      <c r="O120" s="69" t="s">
        <v>176</v>
      </c>
      <c r="P120" s="137">
        <f>+P13+P19+P22</f>
        <v>11500</v>
      </c>
      <c r="Q120" s="69" t="s">
        <v>172</v>
      </c>
      <c r="R120" s="138">
        <f>R30+R43</f>
        <v>30680</v>
      </c>
      <c r="S120" s="69"/>
      <c r="U120" s="69"/>
      <c r="V120" s="69"/>
      <c r="W120" s="20"/>
      <c r="X120" s="20"/>
      <c r="Y120" s="20"/>
      <c r="AA120" s="77"/>
    </row>
    <row r="121" spans="1:27" s="17" customFormat="1">
      <c r="A121" s="24"/>
      <c r="B121" s="17" t="s">
        <v>213</v>
      </c>
      <c r="F121" s="161">
        <v>65</v>
      </c>
      <c r="G121" s="17" t="s">
        <v>14</v>
      </c>
      <c r="H121" s="20"/>
      <c r="I121" s="28"/>
      <c r="J121" s="29"/>
      <c r="K121" s="30"/>
      <c r="L121" s="20"/>
      <c r="M121" s="69"/>
      <c r="N121" s="69"/>
      <c r="O121" s="69" t="s">
        <v>33</v>
      </c>
      <c r="P121" s="124">
        <f>+P118-P120</f>
        <v>320.00799999999981</v>
      </c>
      <c r="Q121" s="69" t="s">
        <v>173</v>
      </c>
      <c r="R121" s="123">
        <f>R118-R120</f>
        <v>839.21227999999246</v>
      </c>
      <c r="S121" s="69"/>
      <c r="T121" s="123">
        <f>T118</f>
        <v>112.4</v>
      </c>
      <c r="U121" s="69"/>
      <c r="V121" s="69"/>
      <c r="W121" s="20"/>
      <c r="X121" s="20"/>
      <c r="Y121" s="20"/>
      <c r="AA121" s="77"/>
    </row>
    <row r="122" spans="1:27" s="17" customFormat="1">
      <c r="A122" s="24"/>
      <c r="B122" s="139" t="s">
        <v>153</v>
      </c>
      <c r="D122" s="27"/>
      <c r="F122" s="162">
        <v>55</v>
      </c>
      <c r="G122" s="140" t="s">
        <v>14</v>
      </c>
      <c r="H122" s="20"/>
      <c r="I122" s="28"/>
      <c r="J122" s="29"/>
      <c r="K122" s="30"/>
      <c r="L122" s="20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20"/>
      <c r="X122" s="20"/>
      <c r="Y122" s="20"/>
      <c r="AA122" s="77"/>
    </row>
    <row r="123" spans="1:27" s="17" customFormat="1">
      <c r="A123" s="24"/>
      <c r="B123" s="139" t="s">
        <v>160</v>
      </c>
      <c r="D123" s="27"/>
      <c r="F123" s="164">
        <f>P118/1000</f>
        <v>11.820008</v>
      </c>
      <c r="G123" s="140" t="s">
        <v>27</v>
      </c>
      <c r="H123" s="20"/>
      <c r="I123" s="28"/>
      <c r="J123" s="29"/>
      <c r="K123" s="30"/>
      <c r="L123" s="20"/>
      <c r="M123" s="69"/>
      <c r="N123" s="69"/>
      <c r="O123" s="69"/>
      <c r="P123" s="69"/>
      <c r="Q123" s="69"/>
      <c r="R123" s="69">
        <f>+SUM(R120:U121)-Q104</f>
        <v>0</v>
      </c>
      <c r="S123" s="69"/>
      <c r="T123" s="69"/>
      <c r="U123" s="69"/>
      <c r="V123" s="69"/>
      <c r="W123" s="20"/>
      <c r="X123" s="20"/>
      <c r="Y123" s="20"/>
      <c r="AA123" s="77"/>
    </row>
    <row r="124" spans="1:27" s="17" customFormat="1">
      <c r="A124" s="24"/>
      <c r="B124" s="25"/>
      <c r="C124" s="26"/>
      <c r="D124" s="27"/>
      <c r="G124" s="20"/>
      <c r="H124" s="20"/>
      <c r="I124" s="28"/>
      <c r="J124" s="29"/>
      <c r="K124" s="30"/>
      <c r="L124" s="20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20"/>
      <c r="X124" s="20"/>
      <c r="Y124" s="20"/>
      <c r="AA124" s="77"/>
    </row>
    <row r="125" spans="1:27" s="17" customFormat="1">
      <c r="A125" s="24"/>
      <c r="B125" s="139" t="s">
        <v>211</v>
      </c>
      <c r="C125" s="26"/>
      <c r="D125" s="27"/>
      <c r="G125" s="20"/>
      <c r="H125" s="20"/>
      <c r="I125" s="28"/>
      <c r="J125" s="29"/>
      <c r="K125" s="30"/>
      <c r="L125" s="20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20"/>
      <c r="X125" s="20"/>
      <c r="Y125" s="20"/>
      <c r="AA125" s="77"/>
    </row>
    <row r="126" spans="1:27" s="17" customFormat="1">
      <c r="A126" s="24"/>
      <c r="B126" s="25"/>
      <c r="C126" s="26"/>
      <c r="D126" s="27"/>
      <c r="G126" s="20"/>
      <c r="H126" s="20"/>
      <c r="I126" s="28"/>
      <c r="J126" s="29"/>
      <c r="K126" s="30"/>
      <c r="L126" s="20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20"/>
      <c r="X126" s="20"/>
      <c r="Y126" s="20"/>
      <c r="AA126" s="77"/>
    </row>
    <row r="127" spans="1:27" s="17" customFormat="1">
      <c r="A127" s="273" t="s">
        <v>212</v>
      </c>
      <c r="B127" s="273"/>
      <c r="C127" s="273"/>
      <c r="D127" s="273"/>
      <c r="E127" s="273"/>
      <c r="F127" s="273"/>
      <c r="G127" s="273"/>
      <c r="H127" s="273"/>
      <c r="I127" s="273"/>
      <c r="J127" s="273"/>
      <c r="K127" s="273"/>
      <c r="L127" s="273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20"/>
      <c r="X127" s="20"/>
      <c r="Y127" s="20"/>
      <c r="AA127" s="77"/>
    </row>
    <row r="128" spans="1:27" s="17" customFormat="1">
      <c r="A128" s="24"/>
      <c r="B128" s="25"/>
      <c r="C128" s="26"/>
      <c r="D128" s="27"/>
      <c r="G128" s="20"/>
      <c r="H128" s="20"/>
      <c r="I128" s="28"/>
      <c r="J128" s="29"/>
      <c r="K128" s="30"/>
      <c r="L128" s="20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20"/>
      <c r="X128" s="20"/>
      <c r="Y128" s="20"/>
      <c r="AA128" s="77"/>
    </row>
    <row r="129" spans="1:30" s="17" customFormat="1">
      <c r="A129" s="24"/>
      <c r="B129" s="25"/>
      <c r="C129" s="26"/>
      <c r="D129" s="27"/>
      <c r="G129" s="20"/>
      <c r="H129" s="20"/>
      <c r="I129" s="28"/>
      <c r="J129" s="29"/>
      <c r="K129" s="30"/>
      <c r="L129" s="20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20"/>
      <c r="X129" s="20"/>
      <c r="Y129" s="20"/>
      <c r="AA129" s="77"/>
    </row>
    <row r="130" spans="1:30" s="17" customFormat="1">
      <c r="A130" s="24"/>
      <c r="B130" s="25"/>
      <c r="C130" s="26"/>
      <c r="D130" s="27"/>
      <c r="G130" s="20"/>
      <c r="H130" s="20"/>
      <c r="I130" s="28"/>
      <c r="J130" s="29"/>
      <c r="K130" s="30"/>
      <c r="L130" s="20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20"/>
      <c r="X130" s="20"/>
      <c r="Y130" s="20"/>
      <c r="AA130" s="77"/>
    </row>
    <row r="131" spans="1:30" s="17" customFormat="1">
      <c r="A131" s="24"/>
      <c r="B131" s="25"/>
      <c r="C131" s="26"/>
      <c r="D131" s="27"/>
      <c r="G131" s="20"/>
      <c r="H131" s="20"/>
      <c r="I131" s="28"/>
      <c r="J131" s="29"/>
      <c r="K131" s="30"/>
      <c r="L131" s="20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20"/>
      <c r="X131" s="20"/>
      <c r="Y131" s="20"/>
      <c r="AA131" s="77"/>
    </row>
    <row r="132" spans="1:30" s="17" customFormat="1">
      <c r="A132" s="24"/>
      <c r="B132" s="25"/>
      <c r="C132" s="26"/>
      <c r="D132" s="27"/>
      <c r="G132" s="20"/>
      <c r="H132" s="20"/>
      <c r="I132" s="28"/>
      <c r="J132" s="29"/>
      <c r="K132" s="30"/>
      <c r="L132" s="20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20"/>
      <c r="X132" s="20"/>
      <c r="Y132" s="20"/>
      <c r="AA132" s="77"/>
    </row>
    <row r="133" spans="1:30" s="17" customFormat="1">
      <c r="A133" s="24"/>
      <c r="B133" s="25"/>
      <c r="C133" s="26"/>
      <c r="D133" s="27"/>
      <c r="G133" s="20"/>
      <c r="H133" s="20"/>
      <c r="I133" s="28"/>
      <c r="J133" s="29"/>
      <c r="K133" s="30"/>
      <c r="L133" s="20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20"/>
      <c r="X133" s="20"/>
      <c r="Y133" s="20"/>
      <c r="AA133" s="77"/>
    </row>
    <row r="134" spans="1:30" s="17" customFormat="1">
      <c r="A134" s="24"/>
      <c r="B134" s="25"/>
      <c r="C134" s="26"/>
      <c r="D134" s="27"/>
      <c r="G134" s="20"/>
      <c r="H134" s="20"/>
      <c r="I134" s="28"/>
      <c r="J134" s="29"/>
      <c r="K134" s="30"/>
      <c r="L134" s="20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20"/>
      <c r="X134" s="20"/>
      <c r="Y134" s="20"/>
      <c r="AA134" s="77"/>
    </row>
    <row r="135" spans="1:30" s="17" customFormat="1">
      <c r="A135" s="24"/>
      <c r="B135" s="25"/>
      <c r="C135" s="26"/>
      <c r="D135" s="27"/>
      <c r="G135" s="20"/>
      <c r="H135" s="20"/>
      <c r="I135" s="28"/>
      <c r="J135" s="29"/>
      <c r="K135" s="30"/>
      <c r="L135" s="20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20"/>
      <c r="X135" s="20"/>
      <c r="Y135" s="20"/>
      <c r="AA135" s="77"/>
    </row>
    <row r="136" spans="1:30" s="17" customFormat="1">
      <c r="A136" s="24"/>
      <c r="B136" s="25"/>
      <c r="C136" s="26"/>
      <c r="D136" s="27"/>
      <c r="G136" s="20"/>
      <c r="H136" s="20"/>
      <c r="I136" s="28"/>
      <c r="J136" s="29"/>
      <c r="K136" s="30"/>
      <c r="L136" s="20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20"/>
      <c r="X136" s="20"/>
      <c r="Y136" s="20"/>
      <c r="AA136" s="77"/>
    </row>
    <row r="137" spans="1:30" s="17" customFormat="1">
      <c r="A137" s="24"/>
      <c r="B137" s="25"/>
      <c r="C137" s="26"/>
      <c r="D137" s="27"/>
      <c r="G137" s="20"/>
      <c r="H137" s="20"/>
      <c r="I137" s="28"/>
      <c r="J137" s="29"/>
      <c r="K137" s="30"/>
      <c r="L137" s="20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20"/>
      <c r="X137" s="20"/>
      <c r="Y137" s="20"/>
      <c r="AA137" s="77"/>
    </row>
    <row r="138" spans="1:30" s="17" customFormat="1">
      <c r="A138" s="24"/>
      <c r="B138" s="25"/>
      <c r="C138" s="26"/>
      <c r="D138" s="27"/>
      <c r="G138" s="20"/>
      <c r="H138" s="20"/>
      <c r="I138" s="28"/>
      <c r="J138" s="29"/>
      <c r="K138" s="30"/>
      <c r="L138" s="20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20"/>
      <c r="X138" s="20"/>
      <c r="Y138" s="20"/>
      <c r="AA138" s="77"/>
    </row>
    <row r="139" spans="1:30" s="17" customFormat="1">
      <c r="A139" s="24"/>
      <c r="B139" s="25"/>
      <c r="C139" s="26"/>
      <c r="D139" s="27"/>
      <c r="G139" s="20"/>
      <c r="H139" s="20"/>
      <c r="I139" s="28"/>
      <c r="J139" s="29"/>
      <c r="K139" s="30"/>
      <c r="L139" s="20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20"/>
      <c r="X139" s="20"/>
      <c r="Y139" s="20"/>
      <c r="AA139" s="77"/>
    </row>
    <row r="140" spans="1:30" s="17" customFormat="1">
      <c r="A140" s="24"/>
      <c r="B140" s="25"/>
      <c r="C140" s="26"/>
      <c r="D140" s="27"/>
      <c r="G140" s="20"/>
      <c r="H140" s="20"/>
      <c r="I140" s="28"/>
      <c r="J140" s="29"/>
      <c r="K140" s="30"/>
      <c r="L140" s="20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20"/>
      <c r="X140" s="20"/>
      <c r="Y140" s="20"/>
      <c r="AA140" s="77"/>
    </row>
    <row r="141" spans="1:30" s="17" customFormat="1">
      <c r="A141" s="24"/>
      <c r="B141" t="s">
        <v>130</v>
      </c>
      <c r="C141"/>
      <c r="D141" t="s">
        <v>131</v>
      </c>
      <c r="G141" s="20"/>
      <c r="H141" s="20"/>
      <c r="I141" s="28"/>
      <c r="J141" s="29"/>
      <c r="K141" s="3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</row>
    <row r="142" spans="1:30" s="17" customFormat="1">
      <c r="A142" s="24"/>
      <c r="B142"/>
      <c r="C142"/>
      <c r="D142"/>
      <c r="G142" s="20"/>
      <c r="H142" s="20"/>
      <c r="I142" s="28"/>
      <c r="J142" s="29"/>
      <c r="K142" s="3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 t="str">
        <f>+F8</f>
        <v>"ВЛ-04кВ  от  КТП-596 на Степановку</v>
      </c>
      <c r="AA142" s="17" t="s">
        <v>116</v>
      </c>
      <c r="AB142" s="17" t="s">
        <v>116</v>
      </c>
      <c r="AC142" s="17" t="s">
        <v>107</v>
      </c>
    </row>
    <row r="143" spans="1:30" s="17" customFormat="1" ht="25.5">
      <c r="A143" s="24"/>
      <c r="B143" t="s">
        <v>132</v>
      </c>
      <c r="C143"/>
      <c r="D143" t="s">
        <v>133</v>
      </c>
      <c r="G143" s="20"/>
      <c r="H143" s="20"/>
      <c r="I143" s="28"/>
      <c r="J143" s="29"/>
      <c r="K143" s="3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82" t="s">
        <v>99</v>
      </c>
      <c r="Z143" s="82">
        <f>+D30</f>
        <v>5</v>
      </c>
      <c r="AA143" s="15">
        <v>9.6300000000000008</v>
      </c>
      <c r="AB143" s="15">
        <f>+Z143*AA143</f>
        <v>48.150000000000006</v>
      </c>
      <c r="AC143" s="17" t="e">
        <f>+SUM(#REF!)</f>
        <v>#REF!</v>
      </c>
      <c r="AD143" s="17" t="e">
        <f>+ROUNDUP(AC143/1000,1)</f>
        <v>#REF!</v>
      </c>
    </row>
    <row r="144" spans="1:30" s="17" customFormat="1" ht="25.5">
      <c r="A144" s="24"/>
      <c r="B144"/>
      <c r="C144"/>
      <c r="D144"/>
      <c r="G144" s="20"/>
      <c r="H144" s="20"/>
      <c r="I144" s="28"/>
      <c r="J144" s="29"/>
      <c r="K144" s="3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82" t="s">
        <v>100</v>
      </c>
      <c r="Z144" s="82">
        <f>+D43+D54</f>
        <v>16</v>
      </c>
      <c r="AA144" s="15">
        <v>5.36</v>
      </c>
      <c r="AB144" s="15">
        <f t="shared" ref="AB144:AB149" si="14">+Z144*AA144</f>
        <v>85.76</v>
      </c>
      <c r="AC144" s="17" t="e">
        <f>+SUM(#REF!)</f>
        <v>#REF!</v>
      </c>
      <c r="AD144" s="17" t="e">
        <f t="shared" ref="AD144:AD149" si="15">+ROUNDUP(AC144/1000,1)</f>
        <v>#REF!</v>
      </c>
    </row>
    <row r="145" spans="1:30" s="17" customFormat="1">
      <c r="A145" s="24"/>
      <c r="B145" t="s">
        <v>134</v>
      </c>
      <c r="C145"/>
      <c r="D145" t="s">
        <v>135</v>
      </c>
      <c r="G145" s="20"/>
      <c r="H145" s="20"/>
      <c r="I145" s="28"/>
      <c r="J145" s="29"/>
      <c r="K145" s="3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82" t="s">
        <v>102</v>
      </c>
      <c r="Z145" s="82" t="e">
        <f>+#REF!</f>
        <v>#REF!</v>
      </c>
      <c r="AA145" s="15">
        <v>1</v>
      </c>
      <c r="AB145" s="15" t="e">
        <f t="shared" si="14"/>
        <v>#REF!</v>
      </c>
      <c r="AC145" s="17" t="e">
        <f>+SUM(#REF!)</f>
        <v>#REF!</v>
      </c>
      <c r="AD145" s="17" t="e">
        <f t="shared" si="15"/>
        <v>#REF!</v>
      </c>
    </row>
    <row r="146" spans="1:30" s="17" customFormat="1" ht="25.5">
      <c r="A146" s="24"/>
      <c r="B146"/>
      <c r="C146"/>
      <c r="D146"/>
      <c r="G146" s="20"/>
      <c r="H146" s="20"/>
      <c r="I146" s="28"/>
      <c r="J146" s="29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/>
      <c r="Y146" s="82" t="s">
        <v>101</v>
      </c>
      <c r="Z146" s="82">
        <f>+D69</f>
        <v>0</v>
      </c>
      <c r="AA146" s="23">
        <v>1.08</v>
      </c>
      <c r="AB146" s="15">
        <f t="shared" si="14"/>
        <v>0</v>
      </c>
      <c r="AC146" s="17" t="e">
        <f>+SUM(#REF!)</f>
        <v>#REF!</v>
      </c>
      <c r="AD146" s="17" t="e">
        <f t="shared" si="15"/>
        <v>#REF!</v>
      </c>
    </row>
    <row r="147" spans="1:30" ht="25.5">
      <c r="B147" s="4" t="s">
        <v>136</v>
      </c>
      <c r="D147" t="s">
        <v>137</v>
      </c>
      <c r="Y147" s="82" t="s">
        <v>103</v>
      </c>
      <c r="Z147" s="82">
        <f>+D89</f>
        <v>3</v>
      </c>
      <c r="AA147" s="23">
        <v>2</v>
      </c>
      <c r="AB147" s="15">
        <f t="shared" si="14"/>
        <v>6</v>
      </c>
      <c r="AC147" t="e">
        <f>+SUM(#REF!)</f>
        <v>#REF!</v>
      </c>
      <c r="AD147" s="17" t="e">
        <f t="shared" si="15"/>
        <v>#REF!</v>
      </c>
    </row>
    <row r="148" spans="1:30">
      <c r="B148" s="9"/>
      <c r="Y148" s="82" t="s">
        <v>104</v>
      </c>
      <c r="Z148" s="82">
        <f>+D99</f>
        <v>3</v>
      </c>
      <c r="AA148" s="23">
        <v>2.08</v>
      </c>
      <c r="AB148" s="15">
        <f t="shared" si="14"/>
        <v>6.24</v>
      </c>
      <c r="AC148" t="e">
        <f>+SUM(#REF!)</f>
        <v>#REF!</v>
      </c>
      <c r="AD148" s="17" t="e">
        <f t="shared" si="15"/>
        <v>#REF!</v>
      </c>
    </row>
    <row r="149" spans="1:30">
      <c r="Y149" s="82" t="s">
        <v>105</v>
      </c>
      <c r="Z149" s="83">
        <f>+D28</f>
        <v>0.44800000000000001</v>
      </c>
      <c r="AA149" s="23">
        <v>36.6</v>
      </c>
      <c r="AB149" s="15">
        <f t="shared" si="14"/>
        <v>16.396800000000002</v>
      </c>
      <c r="AC149" t="e">
        <f>+SUM(#REF!)+SUM(#REF!)</f>
        <v>#REF!</v>
      </c>
      <c r="AD149" s="17" t="e">
        <f t="shared" si="15"/>
        <v>#REF!</v>
      </c>
    </row>
    <row r="150" spans="1:30">
      <c r="AB150" t="e">
        <f>SUM(AB143:AB149)</f>
        <v>#REF!</v>
      </c>
      <c r="AC150" t="e">
        <f>SUM(AC143:AC149)</f>
        <v>#REF!</v>
      </c>
    </row>
    <row r="151" spans="1:30">
      <c r="AC151" s="98" t="e">
        <f>+#REF!-AC150</f>
        <v>#REF!</v>
      </c>
    </row>
  </sheetData>
  <mergeCells count="11">
    <mergeCell ref="A127:L127"/>
    <mergeCell ref="K8:L8"/>
    <mergeCell ref="O10:Q10"/>
    <mergeCell ref="M11:N11"/>
    <mergeCell ref="P11:Q11"/>
    <mergeCell ref="R11:U11"/>
    <mergeCell ref="B114:L114"/>
    <mergeCell ref="B105:L105"/>
    <mergeCell ref="B108:L108"/>
    <mergeCell ref="B111:L111"/>
    <mergeCell ref="A104:L104"/>
  </mergeCells>
  <dataValidations count="1">
    <dataValidation type="list" allowBlank="1" showInputMessage="1" showErrorMessage="1" sqref="I28:I102">
      <formula1>материалы</formula1>
    </dataValidation>
  </dataValidations>
  <hyperlinks>
    <hyperlink ref="W27" r:id="rId1" display="https://k-ps.ru/spravochnik/provoda-izolirovannyie/dlya-vozdushnyix-linij-peredach/sip-2/provod-sip-2-3%D1%8570_1%D1%8554_6.html"/>
  </hyperlinks>
  <pageMargins left="0.74803149606299213" right="0.74803149606299213" top="0.98425196850393704" bottom="0.98425196850393704" header="0.51181102362204722" footer="0.51181102362204722"/>
  <pageSetup paperSize="256" scale="18" orientation="landscape" r:id="rId2"/>
  <headerFooter alignWithMargins="0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151"/>
  <sheetViews>
    <sheetView zoomScale="80" zoomScaleNormal="80" workbookViewId="0">
      <selection activeCell="B14" sqref="B13:B14"/>
    </sheetView>
  </sheetViews>
  <sheetFormatPr defaultRowHeight="12.75" outlineLevelRow="1"/>
  <cols>
    <col min="1" max="1" width="7.5703125" customWidth="1"/>
    <col min="2" max="2" width="30.140625" customWidth="1"/>
    <col min="3" max="3" width="7.5703125" customWidth="1"/>
    <col min="4" max="4" width="9.28515625" customWidth="1"/>
    <col min="5" max="5" width="30" customWidth="1"/>
    <col min="6" max="6" width="8.140625" bestFit="1" customWidth="1"/>
    <col min="7" max="7" width="11" bestFit="1" customWidth="1"/>
    <col min="8" max="8" width="11.140625" customWidth="1"/>
    <col min="9" max="9" width="60.28515625" customWidth="1"/>
    <col min="10" max="10" width="10.140625" customWidth="1"/>
    <col min="11" max="11" width="8.7109375" customWidth="1"/>
    <col min="12" max="12" width="13.42578125" customWidth="1"/>
    <col min="13" max="13" width="6.140625" bestFit="1" customWidth="1"/>
    <col min="14" max="14" width="6.85546875" bestFit="1" customWidth="1"/>
    <col min="15" max="15" width="13.140625" bestFit="1" customWidth="1"/>
    <col min="16" max="16" width="9.42578125" customWidth="1"/>
    <col min="17" max="17" width="10.42578125" customWidth="1"/>
    <col min="18" max="18" width="10.42578125" bestFit="1" customWidth="1"/>
    <col min="19" max="19" width="7.5703125" customWidth="1"/>
    <col min="20" max="20" width="5.85546875" bestFit="1" customWidth="1"/>
    <col min="21" max="21" width="6.5703125" customWidth="1"/>
    <col min="22" max="22" width="45.42578125" customWidth="1"/>
    <col min="23" max="23" width="10.42578125" bestFit="1" customWidth="1"/>
    <col min="25" max="25" width="59.28515625" customWidth="1"/>
    <col min="27" max="27" width="14" customWidth="1"/>
  </cols>
  <sheetData>
    <row r="1" spans="1:26">
      <c r="B1" s="115"/>
      <c r="K1" s="2" t="s">
        <v>0</v>
      </c>
      <c r="L1" s="1"/>
    </row>
    <row r="2" spans="1:26">
      <c r="B2" s="3"/>
      <c r="E2" s="4"/>
      <c r="J2" s="2" t="s">
        <v>138</v>
      </c>
      <c r="K2" s="2"/>
      <c r="L2" s="1"/>
      <c r="Y2" s="71" t="s">
        <v>77</v>
      </c>
      <c r="Z2" s="17">
        <v>1591</v>
      </c>
    </row>
    <row r="3" spans="1:26">
      <c r="B3" s="115"/>
      <c r="J3" s="2" t="s">
        <v>139</v>
      </c>
      <c r="K3" s="2"/>
      <c r="L3" s="1"/>
    </row>
    <row r="4" spans="1:26">
      <c r="B4" s="3"/>
      <c r="J4" s="153" t="s">
        <v>201</v>
      </c>
      <c r="K4" s="153"/>
      <c r="L4" s="1"/>
    </row>
    <row r="5" spans="1:26" ht="18">
      <c r="B5" s="34"/>
      <c r="C5" s="34"/>
      <c r="D5" s="34"/>
      <c r="E5" s="34"/>
      <c r="F5" s="34"/>
      <c r="G5" s="34" t="s">
        <v>1</v>
      </c>
      <c r="H5" s="34"/>
      <c r="I5" s="34"/>
      <c r="J5" s="34"/>
      <c r="K5" s="34"/>
      <c r="L5" s="34"/>
    </row>
    <row r="6" spans="1:26" ht="18">
      <c r="B6" s="34"/>
      <c r="E6" s="13" t="s">
        <v>17</v>
      </c>
      <c r="F6" s="14"/>
      <c r="G6" s="41"/>
      <c r="H6" s="41"/>
      <c r="I6" s="34"/>
      <c r="J6" s="34"/>
      <c r="K6" s="42"/>
      <c r="L6" s="34"/>
    </row>
    <row r="7" spans="1:26" ht="18.75" thickBot="1">
      <c r="B7" s="34"/>
      <c r="C7" s="34"/>
      <c r="D7" s="34"/>
      <c r="E7" s="34"/>
      <c r="F7" s="43" t="s">
        <v>2</v>
      </c>
      <c r="G7" s="34"/>
      <c r="H7" s="34"/>
      <c r="I7" s="34"/>
      <c r="J7" s="34"/>
      <c r="K7" s="34"/>
      <c r="L7" s="34"/>
    </row>
    <row r="8" spans="1:26" ht="18.75" thickBot="1">
      <c r="B8" s="44"/>
      <c r="C8" s="44"/>
      <c r="D8" s="44"/>
      <c r="E8" s="44"/>
      <c r="F8" s="34" t="s">
        <v>206</v>
      </c>
      <c r="G8" s="44"/>
      <c r="H8" s="44"/>
      <c r="I8" s="44"/>
      <c r="J8" s="95" t="s">
        <v>140</v>
      </c>
      <c r="K8" s="274">
        <v>100289</v>
      </c>
      <c r="L8" s="275"/>
      <c r="M8" s="31"/>
      <c r="N8" s="31"/>
      <c r="O8" s="31"/>
      <c r="P8" s="31"/>
      <c r="Q8" s="31"/>
      <c r="R8" s="31"/>
      <c r="S8" s="31"/>
      <c r="T8" s="31"/>
      <c r="U8" s="31"/>
      <c r="V8" s="31"/>
      <c r="W8" s="17"/>
      <c r="X8" s="17"/>
      <c r="Y8" s="17"/>
    </row>
    <row r="9" spans="1:26">
      <c r="A9" s="45" t="s">
        <v>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6" ht="25.5">
      <c r="A10" s="46" t="s">
        <v>4</v>
      </c>
      <c r="B10" s="46" t="s">
        <v>5</v>
      </c>
      <c r="C10" s="47" t="s">
        <v>6</v>
      </c>
      <c r="D10" s="48"/>
      <c r="E10" s="47" t="s">
        <v>7</v>
      </c>
      <c r="F10" s="49"/>
      <c r="G10" s="49"/>
      <c r="H10" s="48"/>
      <c r="I10" s="47" t="s">
        <v>8</v>
      </c>
      <c r="J10" s="49"/>
      <c r="K10" s="49"/>
      <c r="L10" s="48"/>
      <c r="M10" s="118"/>
      <c r="N10" s="118"/>
      <c r="O10" s="279" t="s">
        <v>162</v>
      </c>
      <c r="P10" s="280"/>
      <c r="Q10" s="281"/>
      <c r="R10" s="11"/>
      <c r="S10" s="11"/>
      <c r="T10" s="11"/>
      <c r="U10" s="11"/>
      <c r="V10" s="11"/>
      <c r="W10" s="32"/>
      <c r="X10" s="32"/>
      <c r="Y10" s="32"/>
    </row>
    <row r="11" spans="1:26" ht="67.5">
      <c r="A11" s="50"/>
      <c r="B11" s="50"/>
      <c r="C11" s="5" t="s">
        <v>9</v>
      </c>
      <c r="D11" s="5" t="s">
        <v>10</v>
      </c>
      <c r="E11" s="5" t="s">
        <v>11</v>
      </c>
      <c r="F11" s="5" t="s">
        <v>9</v>
      </c>
      <c r="G11" s="5" t="s">
        <v>10</v>
      </c>
      <c r="H11" s="6" t="s">
        <v>12</v>
      </c>
      <c r="I11" s="5" t="s">
        <v>11</v>
      </c>
      <c r="J11" s="5" t="s">
        <v>9</v>
      </c>
      <c r="K11" s="5" t="s">
        <v>10</v>
      </c>
      <c r="L11" s="6" t="s">
        <v>13</v>
      </c>
      <c r="M11" s="239" t="s">
        <v>163</v>
      </c>
      <c r="N11" s="241"/>
      <c r="O11" s="159" t="s">
        <v>164</v>
      </c>
      <c r="P11" s="239" t="s">
        <v>165</v>
      </c>
      <c r="Q11" s="241"/>
      <c r="R11" s="239" t="s">
        <v>166</v>
      </c>
      <c r="S11" s="240"/>
      <c r="T11" s="240"/>
      <c r="U11" s="241"/>
      <c r="V11" s="130"/>
      <c r="W11" s="36"/>
      <c r="X11" s="36"/>
      <c r="Y11" s="36"/>
    </row>
    <row r="12" spans="1:26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33">
        <v>9</v>
      </c>
      <c r="J12" s="33">
        <v>10</v>
      </c>
      <c r="K12" s="33">
        <v>11</v>
      </c>
      <c r="L12" s="33">
        <v>12</v>
      </c>
      <c r="M12" s="119" t="s">
        <v>167</v>
      </c>
      <c r="N12" s="119" t="s">
        <v>168</v>
      </c>
      <c r="O12" s="120"/>
      <c r="P12" s="120" t="s">
        <v>167</v>
      </c>
      <c r="Q12" s="120" t="s">
        <v>168</v>
      </c>
      <c r="R12" s="121">
        <v>1</v>
      </c>
      <c r="S12" s="122">
        <v>2</v>
      </c>
      <c r="T12" s="121">
        <v>3</v>
      </c>
      <c r="U12" s="122">
        <v>4</v>
      </c>
      <c r="V12" s="131"/>
      <c r="X12" s="20"/>
      <c r="Y12" s="20"/>
    </row>
    <row r="13" spans="1:26" s="11" customFormat="1" ht="38.25">
      <c r="A13" s="8">
        <v>1</v>
      </c>
      <c r="B13" s="19" t="s">
        <v>143</v>
      </c>
      <c r="C13" s="12" t="s">
        <v>15</v>
      </c>
      <c r="D13" s="8">
        <v>2</v>
      </c>
      <c r="E13" s="35" t="s">
        <v>18</v>
      </c>
      <c r="F13" s="8" t="s">
        <v>144</v>
      </c>
      <c r="G13" s="8">
        <f>D13*(0.5+0.4)</f>
        <v>1.8</v>
      </c>
      <c r="H13" s="8" t="s">
        <v>32</v>
      </c>
      <c r="I13" s="141"/>
      <c r="J13" s="8"/>
      <c r="K13" s="8"/>
      <c r="L13" s="8"/>
      <c r="M13" s="134">
        <v>1</v>
      </c>
      <c r="N13" s="135"/>
      <c r="O13" s="129">
        <v>600</v>
      </c>
      <c r="P13" s="145">
        <f t="shared" ref="P13:P27" si="0">O13*G13</f>
        <v>1080</v>
      </c>
      <c r="Q13" s="20"/>
      <c r="R13" s="20"/>
      <c r="S13" s="20"/>
      <c r="T13" s="20"/>
      <c r="U13" s="20"/>
      <c r="V13" s="143" t="s">
        <v>178</v>
      </c>
      <c r="X13" s="76"/>
      <c r="Y13" s="20"/>
    </row>
    <row r="14" spans="1:26" s="11" customFormat="1">
      <c r="A14" s="8"/>
      <c r="B14" s="19"/>
      <c r="C14" s="12"/>
      <c r="D14" s="8"/>
      <c r="E14" s="35" t="s">
        <v>28</v>
      </c>
      <c r="F14" s="8" t="s">
        <v>15</v>
      </c>
      <c r="G14" s="8">
        <f>D13*4</f>
        <v>8</v>
      </c>
      <c r="H14" s="8" t="s">
        <v>33</v>
      </c>
      <c r="I14" s="8"/>
      <c r="J14" s="8"/>
      <c r="K14" s="8"/>
      <c r="L14" s="8"/>
      <c r="M14" s="20">
        <v>1</v>
      </c>
      <c r="N14" s="20"/>
      <c r="O14" s="8">
        <v>0.8</v>
      </c>
      <c r="P14" s="8">
        <f t="shared" si="0"/>
        <v>6.4</v>
      </c>
      <c r="Q14" s="20"/>
      <c r="R14" s="20"/>
      <c r="S14" s="20"/>
      <c r="T14" s="20"/>
      <c r="U14" s="20"/>
      <c r="V14" s="36"/>
      <c r="X14" s="37"/>
      <c r="Y14" s="20"/>
    </row>
    <row r="15" spans="1:26" s="11" customFormat="1">
      <c r="A15" s="8"/>
      <c r="B15" s="19"/>
      <c r="C15" s="12"/>
      <c r="D15" s="8"/>
      <c r="E15" s="165" t="s">
        <v>19</v>
      </c>
      <c r="F15" s="8" t="s">
        <v>15</v>
      </c>
      <c r="G15" s="8">
        <f>D13*4</f>
        <v>8</v>
      </c>
      <c r="H15" s="8" t="s">
        <v>32</v>
      </c>
      <c r="I15" s="8"/>
      <c r="J15" s="8"/>
      <c r="K15" s="8"/>
      <c r="L15" s="8"/>
      <c r="M15" s="20">
        <v>1</v>
      </c>
      <c r="N15" s="20"/>
      <c r="O15" s="8">
        <v>0.47</v>
      </c>
      <c r="P15" s="8">
        <f t="shared" si="0"/>
        <v>3.76</v>
      </c>
      <c r="Q15" s="20"/>
      <c r="R15" s="20"/>
      <c r="S15" s="20"/>
      <c r="T15" s="20"/>
      <c r="U15" s="20"/>
      <c r="V15" s="36"/>
      <c r="X15" s="38"/>
      <c r="Y15" s="20"/>
    </row>
    <row r="16" spans="1:26" s="11" customFormat="1" ht="38.25" hidden="1" outlineLevel="1">
      <c r="A16" s="8">
        <v>2</v>
      </c>
      <c r="B16" s="19" t="s">
        <v>145</v>
      </c>
      <c r="C16" s="12" t="s">
        <v>15</v>
      </c>
      <c r="D16" s="8">
        <v>0</v>
      </c>
      <c r="E16" s="35" t="s">
        <v>18</v>
      </c>
      <c r="F16" s="8" t="s">
        <v>15</v>
      </c>
      <c r="G16" s="8">
        <f>D16*0.5</f>
        <v>0</v>
      </c>
      <c r="H16" s="8" t="s">
        <v>32</v>
      </c>
      <c r="I16" s="141"/>
      <c r="J16" s="8"/>
      <c r="K16" s="8"/>
      <c r="L16" s="8"/>
      <c r="M16" s="20">
        <v>1</v>
      </c>
      <c r="N16" s="20"/>
      <c r="O16" s="8">
        <v>600</v>
      </c>
      <c r="P16" s="8">
        <f t="shared" si="0"/>
        <v>0</v>
      </c>
      <c r="Q16" s="20"/>
      <c r="R16" s="20"/>
      <c r="S16" s="20"/>
      <c r="T16" s="20"/>
      <c r="U16" s="20"/>
      <c r="V16" s="143" t="s">
        <v>178</v>
      </c>
      <c r="X16" s="38"/>
      <c r="Y16" s="20"/>
    </row>
    <row r="17" spans="1:27" s="11" customFormat="1" hidden="1" outlineLevel="1">
      <c r="A17" s="8"/>
      <c r="B17" s="19"/>
      <c r="C17" s="12"/>
      <c r="D17" s="8"/>
      <c r="E17" s="35" t="s">
        <v>28</v>
      </c>
      <c r="F17" s="8" t="s">
        <v>15</v>
      </c>
      <c r="G17" s="8">
        <f>D16*4</f>
        <v>0</v>
      </c>
      <c r="H17" s="8" t="s">
        <v>33</v>
      </c>
      <c r="I17" s="141"/>
      <c r="J17" s="8"/>
      <c r="K17" s="8"/>
      <c r="L17" s="8"/>
      <c r="M17" s="20">
        <v>1</v>
      </c>
      <c r="N17" s="20"/>
      <c r="O17" s="8">
        <v>0.8</v>
      </c>
      <c r="P17" s="8">
        <f t="shared" si="0"/>
        <v>0</v>
      </c>
      <c r="Q17" s="20"/>
      <c r="R17" s="20"/>
      <c r="S17" s="20"/>
      <c r="T17" s="20"/>
      <c r="U17" s="20"/>
      <c r="V17" s="38"/>
      <c r="X17" s="38"/>
      <c r="Y17" s="20"/>
    </row>
    <row r="18" spans="1:27" s="11" customFormat="1" hidden="1" outlineLevel="1">
      <c r="A18" s="8"/>
      <c r="B18" s="19"/>
      <c r="C18" s="12"/>
      <c r="D18" s="8"/>
      <c r="E18" s="165" t="s">
        <v>19</v>
      </c>
      <c r="F18" s="8" t="s">
        <v>15</v>
      </c>
      <c r="G18" s="8">
        <f>D16*4</f>
        <v>0</v>
      </c>
      <c r="H18" s="8" t="s">
        <v>32</v>
      </c>
      <c r="I18" s="8"/>
      <c r="J18" s="8"/>
      <c r="K18" s="8"/>
      <c r="L18" s="8"/>
      <c r="M18" s="20">
        <v>1</v>
      </c>
      <c r="N18" s="20"/>
      <c r="O18" s="8">
        <v>0.47</v>
      </c>
      <c r="P18" s="8">
        <f t="shared" si="0"/>
        <v>0</v>
      </c>
      <c r="Q18" s="20"/>
      <c r="R18" s="20"/>
      <c r="S18" s="20"/>
      <c r="T18" s="20"/>
      <c r="U18" s="20"/>
      <c r="V18" s="38"/>
      <c r="X18" s="38"/>
      <c r="Y18" s="20"/>
    </row>
    <row r="19" spans="1:27" s="11" customFormat="1" ht="38.25" collapsed="1">
      <c r="A19" s="8">
        <v>2</v>
      </c>
      <c r="B19" s="19" t="s">
        <v>146</v>
      </c>
      <c r="C19" s="12" t="s">
        <v>15</v>
      </c>
      <c r="D19" s="8">
        <v>9</v>
      </c>
      <c r="E19" s="35" t="s">
        <v>18</v>
      </c>
      <c r="F19" s="8" t="s">
        <v>144</v>
      </c>
      <c r="G19" s="8">
        <f>D19*0.5</f>
        <v>4.5</v>
      </c>
      <c r="H19" s="8" t="s">
        <v>32</v>
      </c>
      <c r="I19" s="141"/>
      <c r="J19" s="8"/>
      <c r="K19" s="8"/>
      <c r="L19" s="8"/>
      <c r="M19" s="134">
        <v>1</v>
      </c>
      <c r="N19" s="135"/>
      <c r="O19" s="129">
        <v>600</v>
      </c>
      <c r="P19" s="145">
        <f t="shared" si="0"/>
        <v>2700</v>
      </c>
      <c r="Q19" s="20"/>
      <c r="R19" s="20"/>
      <c r="S19" s="20"/>
      <c r="T19" s="20"/>
      <c r="U19" s="20"/>
      <c r="V19" s="143" t="s">
        <v>178</v>
      </c>
      <c r="X19" s="38"/>
      <c r="Y19" s="20"/>
    </row>
    <row r="20" spans="1:27" s="11" customFormat="1">
      <c r="A20" s="8"/>
      <c r="B20" s="19"/>
      <c r="C20" s="12"/>
      <c r="D20" s="8"/>
      <c r="E20" s="35" t="s">
        <v>28</v>
      </c>
      <c r="F20" s="8" t="s">
        <v>15</v>
      </c>
      <c r="G20" s="8">
        <f>D19*4</f>
        <v>36</v>
      </c>
      <c r="H20" s="8" t="s">
        <v>33</v>
      </c>
      <c r="I20" s="8"/>
      <c r="J20" s="8"/>
      <c r="K20" s="8"/>
      <c r="L20" s="8"/>
      <c r="M20" s="20">
        <v>1</v>
      </c>
      <c r="N20" s="20"/>
      <c r="O20" s="8">
        <v>0.8</v>
      </c>
      <c r="P20" s="8">
        <f t="shared" si="0"/>
        <v>28.8</v>
      </c>
      <c r="Q20" s="20"/>
      <c r="R20" s="20"/>
      <c r="S20" s="20"/>
      <c r="T20" s="20"/>
      <c r="U20" s="20"/>
      <c r="V20" s="38"/>
      <c r="X20" s="38"/>
      <c r="Y20" s="20"/>
    </row>
    <row r="21" spans="1:27" s="11" customFormat="1">
      <c r="A21" s="8"/>
      <c r="B21" s="19"/>
      <c r="C21" s="12"/>
      <c r="D21" s="8"/>
      <c r="E21" s="165" t="s">
        <v>19</v>
      </c>
      <c r="F21" s="8" t="s">
        <v>15</v>
      </c>
      <c r="G21" s="8">
        <f>D19*4</f>
        <v>36</v>
      </c>
      <c r="H21" s="8" t="s">
        <v>32</v>
      </c>
      <c r="I21" s="8"/>
      <c r="J21" s="8"/>
      <c r="K21" s="8"/>
      <c r="L21" s="8"/>
      <c r="M21" s="20">
        <v>1</v>
      </c>
      <c r="N21" s="20"/>
      <c r="O21" s="8">
        <v>0.47</v>
      </c>
      <c r="P21" s="8">
        <f t="shared" si="0"/>
        <v>16.919999999999998</v>
      </c>
      <c r="Q21" s="20"/>
      <c r="R21" s="20"/>
      <c r="S21" s="20"/>
      <c r="T21" s="20"/>
      <c r="U21" s="20"/>
      <c r="V21" s="38"/>
      <c r="X21" s="38"/>
      <c r="Y21" s="20"/>
    </row>
    <row r="22" spans="1:27" s="11" customFormat="1">
      <c r="A22" s="8"/>
      <c r="B22" s="19"/>
      <c r="C22" s="12"/>
      <c r="D22" s="8"/>
      <c r="E22" s="166" t="s">
        <v>98</v>
      </c>
      <c r="F22" s="8" t="s">
        <v>15</v>
      </c>
      <c r="G22" s="8">
        <f>D19</f>
        <v>9</v>
      </c>
      <c r="H22" s="8" t="s">
        <v>32</v>
      </c>
      <c r="I22" s="8"/>
      <c r="J22" s="8"/>
      <c r="K22" s="8"/>
      <c r="L22" s="8"/>
      <c r="M22" s="136">
        <v>1</v>
      </c>
      <c r="N22" s="136"/>
      <c r="O22" s="128">
        <v>250</v>
      </c>
      <c r="P22" s="129">
        <f t="shared" si="0"/>
        <v>2250</v>
      </c>
      <c r="Q22" s="20"/>
      <c r="R22" s="20"/>
      <c r="S22" s="20"/>
      <c r="T22" s="20"/>
      <c r="U22" s="20"/>
      <c r="V22" s="144" t="s">
        <v>179</v>
      </c>
      <c r="X22" s="38"/>
      <c r="Y22" s="20"/>
    </row>
    <row r="23" spans="1:27" s="11" customFormat="1" ht="51">
      <c r="A23" s="8">
        <v>3</v>
      </c>
      <c r="B23" s="35" t="s">
        <v>20</v>
      </c>
      <c r="C23" s="12" t="s">
        <v>15</v>
      </c>
      <c r="D23" s="8">
        <v>7</v>
      </c>
      <c r="E23" s="102" t="s">
        <v>34</v>
      </c>
      <c r="F23" s="8" t="s">
        <v>170</v>
      </c>
      <c r="G23" s="127">
        <f>D23*15*2</f>
        <v>210</v>
      </c>
      <c r="H23" s="8" t="s">
        <v>33</v>
      </c>
      <c r="I23" s="142"/>
      <c r="J23" s="8"/>
      <c r="K23" s="8"/>
      <c r="L23" s="8"/>
      <c r="M23" s="20">
        <v>1</v>
      </c>
      <c r="N23" s="20"/>
      <c r="O23" s="145">
        <f>68/1000</f>
        <v>6.8000000000000005E-2</v>
      </c>
      <c r="P23" s="127">
        <f t="shared" si="0"/>
        <v>14.280000000000001</v>
      </c>
      <c r="Q23" s="20"/>
      <c r="R23" s="20"/>
      <c r="S23" s="20"/>
      <c r="T23" s="20"/>
      <c r="U23" s="20"/>
      <c r="V23" s="146" t="s">
        <v>180</v>
      </c>
      <c r="X23" s="38"/>
      <c r="Y23" s="20"/>
    </row>
    <row r="24" spans="1:27" s="11" customFormat="1">
      <c r="A24" s="8">
        <v>4</v>
      </c>
      <c r="B24" s="35" t="s">
        <v>117</v>
      </c>
      <c r="C24" s="12" t="s">
        <v>15</v>
      </c>
      <c r="D24" s="8">
        <f>+D23</f>
        <v>7</v>
      </c>
      <c r="E24" s="102" t="s">
        <v>30</v>
      </c>
      <c r="F24" s="8" t="s">
        <v>15</v>
      </c>
      <c r="G24" s="8">
        <f>D24</f>
        <v>7</v>
      </c>
      <c r="H24" s="167" t="s">
        <v>208</v>
      </c>
      <c r="I24" s="102"/>
      <c r="J24" s="8"/>
      <c r="K24" s="8"/>
      <c r="L24" s="8"/>
      <c r="M24" s="20">
        <v>1</v>
      </c>
      <c r="N24" s="20"/>
      <c r="O24" s="8"/>
      <c r="P24" s="127">
        <f t="shared" si="0"/>
        <v>0</v>
      </c>
      <c r="Q24" s="20"/>
      <c r="R24" s="20"/>
      <c r="S24" s="20"/>
      <c r="T24" s="20"/>
      <c r="U24" s="20"/>
      <c r="V24" s="38"/>
      <c r="X24" s="38"/>
      <c r="Y24" s="20"/>
    </row>
    <row r="25" spans="1:27" s="11" customFormat="1" ht="51">
      <c r="A25" s="8">
        <v>5</v>
      </c>
      <c r="B25" s="35" t="s">
        <v>29</v>
      </c>
      <c r="C25" s="12" t="s">
        <v>15</v>
      </c>
      <c r="D25" s="8">
        <v>2</v>
      </c>
      <c r="E25" s="102" t="s">
        <v>34</v>
      </c>
      <c r="F25" s="8" t="s">
        <v>170</v>
      </c>
      <c r="G25" s="127">
        <f>D25*15*4</f>
        <v>120</v>
      </c>
      <c r="H25" s="8" t="s">
        <v>33</v>
      </c>
      <c r="I25" s="142"/>
      <c r="J25" s="8"/>
      <c r="K25" s="8"/>
      <c r="L25" s="8"/>
      <c r="M25" s="20">
        <v>1</v>
      </c>
      <c r="N25" s="20"/>
      <c r="O25" s="145">
        <f>68/1000</f>
        <v>6.8000000000000005E-2</v>
      </c>
      <c r="P25" s="127">
        <f t="shared" si="0"/>
        <v>8.16</v>
      </c>
      <c r="Q25" s="20"/>
      <c r="R25" s="20"/>
      <c r="S25" s="20"/>
      <c r="T25" s="20"/>
      <c r="U25" s="20"/>
      <c r="V25" s="146" t="s">
        <v>181</v>
      </c>
      <c r="X25" s="38"/>
      <c r="Y25" s="20"/>
    </row>
    <row r="26" spans="1:27" s="11" customFormat="1">
      <c r="A26" s="8">
        <v>6</v>
      </c>
      <c r="B26" s="35" t="s">
        <v>117</v>
      </c>
      <c r="C26" s="12" t="s">
        <v>15</v>
      </c>
      <c r="D26" s="8">
        <f>+D25*3</f>
        <v>6</v>
      </c>
      <c r="E26" s="102" t="s">
        <v>30</v>
      </c>
      <c r="F26" s="8" t="s">
        <v>15</v>
      </c>
      <c r="G26" s="8">
        <f>D26</f>
        <v>6</v>
      </c>
      <c r="H26" s="167" t="s">
        <v>208</v>
      </c>
      <c r="I26" s="102"/>
      <c r="J26" s="8"/>
      <c r="K26" s="8"/>
      <c r="L26" s="8"/>
      <c r="M26" s="20">
        <v>1</v>
      </c>
      <c r="N26" s="20"/>
      <c r="O26" s="8"/>
      <c r="P26" s="127">
        <f t="shared" si="0"/>
        <v>0</v>
      </c>
      <c r="Q26" s="20"/>
      <c r="R26" s="20"/>
      <c r="S26" s="20"/>
      <c r="T26" s="20"/>
      <c r="U26" s="20"/>
      <c r="V26" s="20"/>
      <c r="X26" s="38"/>
      <c r="Y26" s="20"/>
      <c r="AA26" s="11">
        <f>+Z26*D26</f>
        <v>0</v>
      </c>
    </row>
    <row r="27" spans="1:27" s="11" customFormat="1" ht="38.25">
      <c r="A27" s="8">
        <v>7</v>
      </c>
      <c r="B27" s="19" t="s">
        <v>24</v>
      </c>
      <c r="C27" s="12" t="s">
        <v>26</v>
      </c>
      <c r="D27" s="8">
        <v>1.968</v>
      </c>
      <c r="E27" s="102" t="s">
        <v>35</v>
      </c>
      <c r="F27" s="8" t="s">
        <v>14</v>
      </c>
      <c r="G27" s="168">
        <f>D27</f>
        <v>1.968</v>
      </c>
      <c r="H27" s="8" t="s">
        <v>33</v>
      </c>
      <c r="I27" s="8"/>
      <c r="J27" s="8"/>
      <c r="K27" s="8"/>
      <c r="L27" s="8"/>
      <c r="M27" s="20">
        <v>1</v>
      </c>
      <c r="N27" s="20"/>
      <c r="O27" s="147">
        <v>94</v>
      </c>
      <c r="P27" s="127">
        <f t="shared" si="0"/>
        <v>184.99199999999999</v>
      </c>
      <c r="Q27" s="20"/>
      <c r="R27" s="20"/>
      <c r="S27" s="20"/>
      <c r="T27" s="20"/>
      <c r="U27" s="20"/>
      <c r="V27" s="146" t="s">
        <v>182</v>
      </c>
      <c r="W27" s="148" t="s">
        <v>183</v>
      </c>
      <c r="X27" s="38"/>
      <c r="Y27" s="71" t="s">
        <v>82</v>
      </c>
      <c r="Z27" s="17">
        <v>4568.4367375999991</v>
      </c>
      <c r="AA27" s="11">
        <f>+Z27*D27/1000</f>
        <v>8.9906834995967984</v>
      </c>
    </row>
    <row r="28" spans="1:27" s="17" customFormat="1" ht="25.5">
      <c r="A28" s="12">
        <v>8</v>
      </c>
      <c r="B28" s="35" t="s">
        <v>184</v>
      </c>
      <c r="C28" s="12" t="s">
        <v>14</v>
      </c>
      <c r="D28" s="64">
        <f>D27/4</f>
        <v>0.49199999999999999</v>
      </c>
      <c r="E28" s="8"/>
      <c r="F28" s="8"/>
      <c r="G28" s="8"/>
      <c r="H28" s="8"/>
      <c r="I28" s="169" t="s">
        <v>58</v>
      </c>
      <c r="J28" s="8" t="s">
        <v>14</v>
      </c>
      <c r="K28" s="22">
        <f>D28*1.02</f>
        <v>0.50183999999999995</v>
      </c>
      <c r="L28" s="8" t="s">
        <v>142</v>
      </c>
      <c r="M28" s="126">
        <f>+K28/D28-1</f>
        <v>2.0000000000000018E-2</v>
      </c>
      <c r="N28" s="20">
        <v>1</v>
      </c>
      <c r="O28" s="128">
        <v>1093</v>
      </c>
      <c r="P28" s="20"/>
      <c r="Q28" s="20">
        <f t="shared" ref="Q28:Q38" si="1">O28*K28</f>
        <v>548.51111999999989</v>
      </c>
      <c r="R28" s="20">
        <f t="shared" ref="R28:R90" si="2">IF(N28=$R$12,Q28,0)</f>
        <v>548.51111999999989</v>
      </c>
      <c r="S28" s="20">
        <f t="shared" ref="S28:S90" si="3">IF(N28=$S$12,Q28,0)</f>
        <v>0</v>
      </c>
      <c r="T28" s="20">
        <f t="shared" ref="T28:T90" si="4">IF(N28=$T$12,Q28,0)</f>
        <v>0</v>
      </c>
      <c r="U28" s="20">
        <f t="shared" ref="U28:U90" si="5">IF(N28=$U$12,Q28,0)</f>
        <v>0</v>
      </c>
      <c r="V28" s="152" t="s">
        <v>185</v>
      </c>
      <c r="W28">
        <f>IF(ISNA(VLOOKUP(I28,Матер!$A$2:$C$85,3,0)),0,VLOOKUP(I28,Матер!$A$2:$C$85,3,0))</f>
        <v>190000</v>
      </c>
      <c r="X28"/>
      <c r="Y28" s="20"/>
      <c r="AA28" s="11">
        <f>+Z28*D28</f>
        <v>0</v>
      </c>
    </row>
    <row r="29" spans="1:27" s="17" customFormat="1">
      <c r="A29" s="12"/>
      <c r="B29" s="23"/>
      <c r="C29" s="8"/>
      <c r="D29" s="8"/>
      <c r="E29" s="8"/>
      <c r="F29" s="8"/>
      <c r="G29" s="8"/>
      <c r="H29" s="8"/>
      <c r="I29" s="169" t="s">
        <v>75</v>
      </c>
      <c r="J29" s="8" t="str">
        <f>IF(ISNA(VLOOKUP(I29,Матер!$A$2:$C$85,2,0)),0,VLOOKUP(I29,Матер!$A$2:$C$85,2,0))</f>
        <v>шт</v>
      </c>
      <c r="K29" s="10">
        <f>D19</f>
        <v>9</v>
      </c>
      <c r="L29" s="8" t="s">
        <v>142</v>
      </c>
      <c r="M29" s="20"/>
      <c r="N29" s="20">
        <v>1</v>
      </c>
      <c r="O29" s="20">
        <v>0.19</v>
      </c>
      <c r="P29" s="20"/>
      <c r="Q29" s="20">
        <f t="shared" si="1"/>
        <v>1.71</v>
      </c>
      <c r="R29" s="20">
        <f t="shared" si="2"/>
        <v>1.71</v>
      </c>
      <c r="S29" s="20">
        <f t="shared" si="3"/>
        <v>0</v>
      </c>
      <c r="T29" s="20">
        <f t="shared" si="4"/>
        <v>0</v>
      </c>
      <c r="U29" s="20">
        <f t="shared" si="5"/>
        <v>0</v>
      </c>
      <c r="V29" s="20"/>
      <c r="W29">
        <f>IF(ISNA(VLOOKUP(I29,Матер!$A$2:$C$85,3,0)),0,VLOOKUP(I29,Матер!$A$2:$C$85,3,0))</f>
        <v>350</v>
      </c>
      <c r="X29" t="e">
        <f>SUM(#REF!)</f>
        <v>#REF!</v>
      </c>
      <c r="Y29" s="20"/>
      <c r="AA29" s="11">
        <f>+Z29*D29</f>
        <v>0</v>
      </c>
    </row>
    <row r="30" spans="1:27" s="11" customFormat="1" ht="76.5">
      <c r="A30" s="8">
        <v>9</v>
      </c>
      <c r="B30" s="170" t="s">
        <v>209</v>
      </c>
      <c r="C30" s="12" t="s">
        <v>15</v>
      </c>
      <c r="D30" s="8">
        <f>D13</f>
        <v>2</v>
      </c>
      <c r="E30" s="23"/>
      <c r="F30" s="23"/>
      <c r="G30" s="8"/>
      <c r="H30" s="8"/>
      <c r="I30" s="169" t="s">
        <v>84</v>
      </c>
      <c r="J30" s="8" t="str">
        <f>IF(ISNA(VLOOKUP(I30,Матер!$A$2:$C$85,2,0)),0,VLOOKUP(I30,Матер!$A$2:$C$85,2,0))</f>
        <v>шт</v>
      </c>
      <c r="K30" s="8">
        <f>D30*2</f>
        <v>4</v>
      </c>
      <c r="L30" s="8" t="s">
        <v>141</v>
      </c>
      <c r="M30" s="20"/>
      <c r="N30" s="125">
        <v>1</v>
      </c>
      <c r="O30" s="125">
        <v>1180</v>
      </c>
      <c r="P30" s="125"/>
      <c r="Q30" s="125">
        <f t="shared" si="1"/>
        <v>4720</v>
      </c>
      <c r="R30" s="125">
        <f t="shared" si="2"/>
        <v>4720</v>
      </c>
      <c r="S30" s="125">
        <f t="shared" si="3"/>
        <v>0</v>
      </c>
      <c r="T30" s="125">
        <f t="shared" si="4"/>
        <v>0</v>
      </c>
      <c r="U30" s="125">
        <f t="shared" si="5"/>
        <v>0</v>
      </c>
      <c r="V30" s="20"/>
      <c r="W30">
        <f>IF(ISNA(VLOOKUP(I30,Матер!$A$2:$C$85,3,0)),0,VLOOKUP(I30,Матер!$A$2:$C$85,3,0))</f>
        <v>7800</v>
      </c>
      <c r="X30"/>
      <c r="Y30" s="71" t="s">
        <v>78</v>
      </c>
      <c r="Z30" s="17">
        <v>3095.25</v>
      </c>
      <c r="AA30" s="11">
        <f>+Z30*D30/1000</f>
        <v>6.1905000000000001</v>
      </c>
    </row>
    <row r="31" spans="1:27" s="11" customFormat="1">
      <c r="A31" s="8"/>
      <c r="B31" s="19"/>
      <c r="C31" s="12"/>
      <c r="D31" s="8"/>
      <c r="E31" s="23"/>
      <c r="F31" s="23"/>
      <c r="G31" s="8"/>
      <c r="H31" s="8"/>
      <c r="I31" s="169" t="s">
        <v>169</v>
      </c>
      <c r="J31" s="8" t="s">
        <v>15</v>
      </c>
      <c r="K31" s="8">
        <f>D30*1</f>
        <v>2</v>
      </c>
      <c r="L31" s="8" t="s">
        <v>142</v>
      </c>
      <c r="M31" s="20"/>
      <c r="N31" s="20">
        <v>1</v>
      </c>
      <c r="O31" s="149">
        <v>7</v>
      </c>
      <c r="P31" s="20"/>
      <c r="Q31" s="20">
        <f t="shared" si="1"/>
        <v>14</v>
      </c>
      <c r="R31" s="20">
        <f t="shared" si="2"/>
        <v>14</v>
      </c>
      <c r="S31" s="20">
        <f t="shared" si="3"/>
        <v>0</v>
      </c>
      <c r="T31" s="20">
        <f t="shared" si="4"/>
        <v>0</v>
      </c>
      <c r="U31" s="20">
        <f t="shared" si="5"/>
        <v>0</v>
      </c>
      <c r="V31" s="143" t="s">
        <v>178</v>
      </c>
      <c r="W31">
        <f>IF(ISNA(VLOOKUP(I31,Матер!$A$2:$C$85,3,0)),0,VLOOKUP(I31,Матер!$A$2:$C$85,3,0))</f>
        <v>0</v>
      </c>
      <c r="X31"/>
      <c r="Y31" s="20"/>
      <c r="AA31" s="11">
        <f>+Z31*D31</f>
        <v>0</v>
      </c>
    </row>
    <row r="32" spans="1:27" s="11" customFormat="1">
      <c r="A32" s="8"/>
      <c r="B32" s="19"/>
      <c r="C32" s="12"/>
      <c r="D32" s="8"/>
      <c r="E32" s="23"/>
      <c r="F32" s="23"/>
      <c r="G32" s="8"/>
      <c r="H32" s="8"/>
      <c r="I32" s="169" t="s">
        <v>86</v>
      </c>
      <c r="J32" s="8" t="str">
        <f>IF(ISNA(VLOOKUP(I32,Матер!$A$2:$C$85,2,0)),0,VLOOKUP(I32,Матер!$A$2:$C$85,2,0))</f>
        <v>шт</v>
      </c>
      <c r="K32" s="8">
        <f>+D30*2</f>
        <v>4</v>
      </c>
      <c r="L32" s="8" t="s">
        <v>142</v>
      </c>
      <c r="M32" s="20"/>
      <c r="N32" s="20">
        <v>1</v>
      </c>
      <c r="O32" s="20">
        <v>0.28999999999999998</v>
      </c>
      <c r="P32" s="20"/>
      <c r="Q32" s="20">
        <f t="shared" si="1"/>
        <v>1.1599999999999999</v>
      </c>
      <c r="R32" s="20">
        <f t="shared" si="2"/>
        <v>1.1599999999999999</v>
      </c>
      <c r="S32" s="20">
        <f t="shared" si="3"/>
        <v>0</v>
      </c>
      <c r="T32" s="20">
        <f t="shared" si="4"/>
        <v>0</v>
      </c>
      <c r="U32" s="20">
        <f t="shared" si="5"/>
        <v>0</v>
      </c>
      <c r="V32" s="20"/>
      <c r="W32">
        <f>IF(ISNA(VLOOKUP(I32,Матер!$A$2:$C$85,3,0)),0,VLOOKUP(I32,Матер!$A$2:$C$85,3,0))</f>
        <v>100</v>
      </c>
      <c r="X32"/>
      <c r="Y32" s="20"/>
      <c r="AA32" s="11">
        <f>+Z32*D32</f>
        <v>0</v>
      </c>
    </row>
    <row r="33" spans="1:27" s="11" customFormat="1">
      <c r="A33" s="8"/>
      <c r="B33" s="19"/>
      <c r="C33" s="12"/>
      <c r="D33" s="8"/>
      <c r="E33" s="23"/>
      <c r="F33" s="23"/>
      <c r="G33" s="8"/>
      <c r="H33" s="8"/>
      <c r="I33" s="169" t="s">
        <v>74</v>
      </c>
      <c r="J33" s="8" t="s">
        <v>171</v>
      </c>
      <c r="K33" s="8">
        <f>(D30*3/50*100)/100</f>
        <v>0.12</v>
      </c>
      <c r="L33" s="8" t="s">
        <v>142</v>
      </c>
      <c r="M33" s="20"/>
      <c r="N33" s="20">
        <v>1</v>
      </c>
      <c r="O33" s="20">
        <v>3.9</v>
      </c>
      <c r="P33" s="20"/>
      <c r="Q33" s="20">
        <f t="shared" si="1"/>
        <v>0.46799999999999997</v>
      </c>
      <c r="R33" s="20">
        <f t="shared" si="2"/>
        <v>0.46799999999999997</v>
      </c>
      <c r="S33" s="20">
        <f t="shared" si="3"/>
        <v>0</v>
      </c>
      <c r="T33" s="20">
        <f t="shared" si="4"/>
        <v>0</v>
      </c>
      <c r="U33" s="20">
        <f t="shared" si="5"/>
        <v>0</v>
      </c>
      <c r="V33" s="20"/>
      <c r="W33">
        <f>IF(ISNA(VLOOKUP(I33,Матер!$A$2:$C$85,3,0)),0,VLOOKUP(I33,Матер!$A$2:$C$85,3,0))</f>
        <v>1500</v>
      </c>
      <c r="X33"/>
      <c r="Y33" s="20"/>
    </row>
    <row r="34" spans="1:27" s="11" customFormat="1">
      <c r="A34" s="8"/>
      <c r="B34" s="8"/>
      <c r="C34" s="8"/>
      <c r="D34" s="8"/>
      <c r="E34" s="23"/>
      <c r="F34" s="23"/>
      <c r="G34" s="8"/>
      <c r="H34" s="8"/>
      <c r="I34" s="169" t="s">
        <v>89</v>
      </c>
      <c r="J34" s="8" t="s">
        <v>15</v>
      </c>
      <c r="K34" s="8">
        <f>D30*2</f>
        <v>4</v>
      </c>
      <c r="L34" s="8" t="s">
        <v>142</v>
      </c>
      <c r="M34" s="20"/>
      <c r="N34" s="20">
        <v>1</v>
      </c>
      <c r="O34" s="20">
        <v>0.02</v>
      </c>
      <c r="P34" s="20"/>
      <c r="Q34" s="20">
        <f t="shared" si="1"/>
        <v>0.08</v>
      </c>
      <c r="R34" s="20">
        <f t="shared" si="2"/>
        <v>0.08</v>
      </c>
      <c r="S34" s="20">
        <f t="shared" si="3"/>
        <v>0</v>
      </c>
      <c r="T34" s="20">
        <f t="shared" si="4"/>
        <v>0</v>
      </c>
      <c r="U34" s="20">
        <f t="shared" si="5"/>
        <v>0</v>
      </c>
      <c r="V34" s="20"/>
      <c r="W34">
        <f>IF(ISNA(VLOOKUP(I34,Матер!$A$2:$C$85,3,0)),0,VLOOKUP(I34,Матер!$A$2:$C$85,3,0))</f>
        <v>987.06</v>
      </c>
      <c r="X34"/>
      <c r="Y34" s="20"/>
      <c r="AA34" s="11">
        <f>+Z34*D34</f>
        <v>0</v>
      </c>
    </row>
    <row r="35" spans="1:27" s="11" customFormat="1">
      <c r="A35" s="8"/>
      <c r="B35" s="8"/>
      <c r="C35" s="8"/>
      <c r="D35" s="8"/>
      <c r="E35" s="23"/>
      <c r="F35" s="23"/>
      <c r="G35" s="8"/>
      <c r="H35" s="8"/>
      <c r="I35" s="169" t="s">
        <v>70</v>
      </c>
      <c r="J35" s="8" t="str">
        <f>IF(ISNA(VLOOKUP(I35,Матер!$A$2:$C$85,2,0)),0,VLOOKUP(I35,Матер!$A$2:$C$85,2,0))</f>
        <v>шт</v>
      </c>
      <c r="K35" s="12">
        <f>D30*4</f>
        <v>8</v>
      </c>
      <c r="L35" s="8" t="s">
        <v>142</v>
      </c>
      <c r="M35" s="20"/>
      <c r="N35" s="20">
        <v>1</v>
      </c>
      <c r="O35" s="20">
        <v>1.4999999999999999E-2</v>
      </c>
      <c r="P35" s="20"/>
      <c r="Q35" s="20">
        <f t="shared" si="1"/>
        <v>0.12</v>
      </c>
      <c r="R35" s="20">
        <f t="shared" si="2"/>
        <v>0.12</v>
      </c>
      <c r="S35" s="20">
        <f t="shared" si="3"/>
        <v>0</v>
      </c>
      <c r="T35" s="20">
        <f t="shared" si="4"/>
        <v>0</v>
      </c>
      <c r="U35" s="20">
        <f t="shared" si="5"/>
        <v>0</v>
      </c>
      <c r="V35" s="20"/>
      <c r="W35">
        <f>IF(ISNA(VLOOKUP(I35,Матер!$A$2:$C$85,3,0)),0,VLOOKUP(I35,Матер!$A$2:$C$85,3,0))</f>
        <v>3.5169999999999999</v>
      </c>
      <c r="X35"/>
      <c r="Y35" s="20"/>
      <c r="AA35" s="11">
        <f>+Z35*D35</f>
        <v>0</v>
      </c>
    </row>
    <row r="36" spans="1:27" s="11" customFormat="1">
      <c r="A36" s="8"/>
      <c r="B36" s="8"/>
      <c r="C36" s="8"/>
      <c r="D36" s="8"/>
      <c r="E36" s="23"/>
      <c r="F36" s="23"/>
      <c r="G36" s="8"/>
      <c r="H36" s="8"/>
      <c r="I36" s="169" t="s">
        <v>36</v>
      </c>
      <c r="J36" s="8" t="str">
        <f>IF(ISNA(VLOOKUP(I36,Матер!$A$2:$C$85,2,0)),0,VLOOKUP(I36,Матер!$A$2:$C$85,2,0))</f>
        <v>шт</v>
      </c>
      <c r="K36" s="12">
        <f>+D30*2</f>
        <v>4</v>
      </c>
      <c r="L36" s="8" t="s">
        <v>142</v>
      </c>
      <c r="M36" s="20"/>
      <c r="N36" s="20">
        <v>1</v>
      </c>
      <c r="O36" s="20">
        <v>0.46</v>
      </c>
      <c r="P36" s="20"/>
      <c r="Q36" s="20">
        <f t="shared" si="1"/>
        <v>1.84</v>
      </c>
      <c r="R36" s="20">
        <f t="shared" si="2"/>
        <v>1.84</v>
      </c>
      <c r="S36" s="20">
        <f t="shared" si="3"/>
        <v>0</v>
      </c>
      <c r="T36" s="20">
        <f t="shared" si="4"/>
        <v>0</v>
      </c>
      <c r="U36" s="20">
        <f t="shared" si="5"/>
        <v>0</v>
      </c>
      <c r="V36" s="20"/>
      <c r="W36">
        <f>IF(ISNA(VLOOKUP(I36,Матер!$A$2:$C$85,3,0)),0,VLOOKUP(I36,Матер!$A$2:$C$85,3,0))</f>
        <v>284.64</v>
      </c>
      <c r="X36"/>
      <c r="Y36" s="20"/>
      <c r="AA36" s="11">
        <f>+Z36*D36</f>
        <v>0</v>
      </c>
    </row>
    <row r="37" spans="1:27" s="11" customFormat="1" ht="25.5">
      <c r="A37" s="8"/>
      <c r="B37" s="8"/>
      <c r="C37" s="8"/>
      <c r="D37" s="8"/>
      <c r="E37" s="151"/>
      <c r="F37" s="151"/>
      <c r="G37" s="151"/>
      <c r="H37" s="151"/>
      <c r="I37" s="169" t="s">
        <v>92</v>
      </c>
      <c r="J37" s="8" t="str">
        <f>IF(ISNA(VLOOKUP(I37,Матер!$A$2:$C$85,2,0)),0,VLOOKUP(I37,Матер!$A$2:$C$85,2,0))</f>
        <v>кг</v>
      </c>
      <c r="K37" s="12">
        <f>+D30*8</f>
        <v>16</v>
      </c>
      <c r="L37" s="8" t="s">
        <v>142</v>
      </c>
      <c r="M37" s="20"/>
      <c r="N37" s="20">
        <v>3</v>
      </c>
      <c r="O37" s="149">
        <v>1</v>
      </c>
      <c r="P37" s="20"/>
      <c r="Q37" s="20">
        <f t="shared" si="1"/>
        <v>16</v>
      </c>
      <c r="R37" s="20">
        <f>IF(N37=$R$12,Q37,0)</f>
        <v>0</v>
      </c>
      <c r="S37" s="20">
        <f t="shared" si="3"/>
        <v>0</v>
      </c>
      <c r="T37" s="20">
        <f>IF(N37=$T$12,Q37,0)</f>
        <v>16</v>
      </c>
      <c r="U37" s="20">
        <f t="shared" si="5"/>
        <v>0</v>
      </c>
      <c r="V37" s="143" t="s">
        <v>178</v>
      </c>
      <c r="W37">
        <f>IF(ISNA(VLOOKUP(I37,Матер!$A$2:$C$85,3,0)),0,VLOOKUP(I37,Матер!$A$2:$C$85,3,0))</f>
        <v>80</v>
      </c>
      <c r="X37" t="e">
        <f>SUM(#REF!)</f>
        <v>#REF!</v>
      </c>
      <c r="Y37" s="20"/>
    </row>
    <row r="38" spans="1:27" s="11" customFormat="1">
      <c r="A38" s="8"/>
      <c r="B38" s="8"/>
      <c r="C38" s="8"/>
      <c r="D38" s="8"/>
      <c r="E38" s="23"/>
      <c r="F38" s="23"/>
      <c r="G38" s="8"/>
      <c r="H38" s="8"/>
      <c r="I38" s="169" t="s">
        <v>174</v>
      </c>
      <c r="J38" s="8" t="s">
        <v>16</v>
      </c>
      <c r="K38" s="12">
        <f>D30*0.4</f>
        <v>0.8</v>
      </c>
      <c r="L38" s="8" t="s">
        <v>142</v>
      </c>
      <c r="M38" s="20"/>
      <c r="N38" s="20">
        <v>3</v>
      </c>
      <c r="O38" s="149">
        <v>1</v>
      </c>
      <c r="P38" s="20"/>
      <c r="Q38" s="20">
        <f t="shared" si="1"/>
        <v>0.8</v>
      </c>
      <c r="R38" s="20">
        <f t="shared" si="2"/>
        <v>0</v>
      </c>
      <c r="S38" s="20">
        <f t="shared" si="3"/>
        <v>0</v>
      </c>
      <c r="T38" s="20">
        <f t="shared" si="4"/>
        <v>0.8</v>
      </c>
      <c r="U38" s="20">
        <f t="shared" si="5"/>
        <v>0</v>
      </c>
      <c r="V38" s="143" t="s">
        <v>178</v>
      </c>
      <c r="W38"/>
      <c r="X38"/>
      <c r="Y38" s="20"/>
    </row>
    <row r="39" spans="1:27" s="11" customFormat="1">
      <c r="A39" s="8"/>
      <c r="B39" s="8"/>
      <c r="C39" s="8"/>
      <c r="D39" s="8"/>
      <c r="E39" s="23"/>
      <c r="F39" s="23"/>
      <c r="G39" s="8"/>
      <c r="H39" s="8"/>
      <c r="I39" s="169" t="s">
        <v>46</v>
      </c>
      <c r="J39" s="8" t="s">
        <v>16</v>
      </c>
      <c r="K39" s="171">
        <f>D30*9.5*0.257</f>
        <v>4.883</v>
      </c>
      <c r="L39" s="8" t="s">
        <v>142</v>
      </c>
      <c r="M39" s="20"/>
      <c r="N39" s="20">
        <v>1</v>
      </c>
      <c r="O39" s="20">
        <v>1</v>
      </c>
      <c r="P39" s="20"/>
      <c r="Q39" s="77">
        <f>O39*K39</f>
        <v>4.883</v>
      </c>
      <c r="R39" s="77">
        <f>IF(N39=$R$12,Q39,0)</f>
        <v>4.883</v>
      </c>
      <c r="S39" s="20">
        <f t="shared" si="3"/>
        <v>0</v>
      </c>
      <c r="T39" s="20">
        <f t="shared" si="4"/>
        <v>0</v>
      </c>
      <c r="U39" s="20">
        <f t="shared" si="5"/>
        <v>0</v>
      </c>
      <c r="V39" s="20"/>
      <c r="W39"/>
      <c r="X39"/>
      <c r="Y39" s="20"/>
    </row>
    <row r="40" spans="1:27" s="11" customFormat="1">
      <c r="A40" s="8"/>
      <c r="B40" s="8"/>
      <c r="C40" s="8"/>
      <c r="D40" s="8"/>
      <c r="E40" s="23"/>
      <c r="F40" s="23"/>
      <c r="G40" s="8"/>
      <c r="H40" s="8"/>
      <c r="I40" s="169" t="s">
        <v>49</v>
      </c>
      <c r="J40" s="8" t="s">
        <v>16</v>
      </c>
      <c r="K40" s="171">
        <f>D30*3*1.192</f>
        <v>7.1519999999999992</v>
      </c>
      <c r="L40" s="8" t="s">
        <v>142</v>
      </c>
      <c r="M40" s="20"/>
      <c r="N40" s="20">
        <v>1</v>
      </c>
      <c r="O40" s="20">
        <v>1</v>
      </c>
      <c r="P40" s="20"/>
      <c r="Q40" s="77">
        <f>O40*K40</f>
        <v>7.1519999999999992</v>
      </c>
      <c r="R40" s="77">
        <f t="shared" si="2"/>
        <v>7.1519999999999992</v>
      </c>
      <c r="S40" s="20">
        <f t="shared" si="3"/>
        <v>0</v>
      </c>
      <c r="T40" s="20">
        <f t="shared" si="4"/>
        <v>0</v>
      </c>
      <c r="U40" s="20">
        <f t="shared" si="5"/>
        <v>0</v>
      </c>
      <c r="V40" s="20"/>
      <c r="W40"/>
      <c r="X40"/>
      <c r="Y40" s="20"/>
    </row>
    <row r="41" spans="1:27" s="11" customFormat="1">
      <c r="A41" s="8"/>
      <c r="B41" s="8"/>
      <c r="C41" s="8"/>
      <c r="D41" s="8"/>
      <c r="E41" s="23"/>
      <c r="F41" s="23"/>
      <c r="G41" s="8"/>
      <c r="H41" s="8"/>
      <c r="I41" s="169" t="s">
        <v>45</v>
      </c>
      <c r="J41" s="8" t="str">
        <f>IF(ISNA(VLOOKUP(I41,Матер!$A$2:$C$85,2,0)),0,VLOOKUP(I41,Матер!$A$2:$C$85,2,0))</f>
        <v>шт</v>
      </c>
      <c r="K41" s="21">
        <f>5*D30</f>
        <v>10</v>
      </c>
      <c r="L41" s="8" t="s">
        <v>142</v>
      </c>
      <c r="M41" s="20"/>
      <c r="N41" s="20">
        <v>1</v>
      </c>
      <c r="O41" s="20">
        <v>0.42</v>
      </c>
      <c r="P41" s="20"/>
      <c r="Q41" s="20">
        <f t="shared" ref="Q41:Q48" si="6">O41*K41</f>
        <v>4.2</v>
      </c>
      <c r="R41" s="20">
        <f t="shared" si="2"/>
        <v>4.2</v>
      </c>
      <c r="S41" s="20">
        <f t="shared" si="3"/>
        <v>0</v>
      </c>
      <c r="T41" s="20">
        <f t="shared" si="4"/>
        <v>0</v>
      </c>
      <c r="U41" s="20">
        <f t="shared" si="5"/>
        <v>0</v>
      </c>
      <c r="V41" s="20"/>
      <c r="W41"/>
      <c r="X41"/>
      <c r="Y41" s="20"/>
    </row>
    <row r="42" spans="1:27" s="11" customFormat="1">
      <c r="A42" s="8"/>
      <c r="B42" s="8"/>
      <c r="C42" s="8"/>
      <c r="D42" s="8"/>
      <c r="E42" s="23"/>
      <c r="F42" s="23"/>
      <c r="G42" s="8"/>
      <c r="H42" s="8"/>
      <c r="I42" s="169" t="s">
        <v>94</v>
      </c>
      <c r="J42" s="8" t="str">
        <f>IF(ISNA(VLOOKUP(I42,Матер!$A$2:$C$85,2,0)),0,VLOOKUP(I42,Матер!$A$2:$C$85,2,0))</f>
        <v>шт</v>
      </c>
      <c r="K42" s="21">
        <f>D30</f>
        <v>2</v>
      </c>
      <c r="L42" s="8" t="s">
        <v>142</v>
      </c>
      <c r="M42" s="20"/>
      <c r="N42" s="20">
        <v>1</v>
      </c>
      <c r="O42" s="20">
        <v>0.19</v>
      </c>
      <c r="P42" s="20"/>
      <c r="Q42" s="20">
        <f t="shared" si="6"/>
        <v>0.38</v>
      </c>
      <c r="R42" s="20">
        <f t="shared" si="2"/>
        <v>0.38</v>
      </c>
      <c r="S42" s="20">
        <f t="shared" si="3"/>
        <v>0</v>
      </c>
      <c r="T42" s="20">
        <f t="shared" si="4"/>
        <v>0</v>
      </c>
      <c r="U42" s="20">
        <f t="shared" si="5"/>
        <v>0</v>
      </c>
      <c r="V42" s="20"/>
      <c r="W42"/>
      <c r="X42"/>
      <c r="Y42" s="20"/>
    </row>
    <row r="43" spans="1:27" s="11" customFormat="1" ht="63.75">
      <c r="A43" s="12">
        <v>10</v>
      </c>
      <c r="B43" s="170" t="s">
        <v>210</v>
      </c>
      <c r="C43" s="12" t="s">
        <v>15</v>
      </c>
      <c r="D43" s="8">
        <f>D19</f>
        <v>9</v>
      </c>
      <c r="E43" s="23"/>
      <c r="F43" s="23"/>
      <c r="G43" s="8"/>
      <c r="H43" s="8"/>
      <c r="I43" s="169" t="s">
        <v>84</v>
      </c>
      <c r="J43" s="8" t="str">
        <f>IF(ISNA(VLOOKUP(I43,Матер!$A$2:$C$85,2,0)),0,VLOOKUP(I43,Матер!$A$2:$C$85,2,0))</f>
        <v>шт</v>
      </c>
      <c r="K43" s="12">
        <f>+D43</f>
        <v>9</v>
      </c>
      <c r="L43" s="8" t="s">
        <v>141</v>
      </c>
      <c r="M43" s="20"/>
      <c r="N43" s="125">
        <v>1</v>
      </c>
      <c r="O43" s="125">
        <v>1180</v>
      </c>
      <c r="P43" s="125"/>
      <c r="Q43" s="125">
        <f t="shared" si="6"/>
        <v>10620</v>
      </c>
      <c r="R43" s="125">
        <f t="shared" si="2"/>
        <v>10620</v>
      </c>
      <c r="S43" s="125">
        <f t="shared" si="3"/>
        <v>0</v>
      </c>
      <c r="T43" s="125">
        <f t="shared" si="4"/>
        <v>0</v>
      </c>
      <c r="U43" s="125">
        <f t="shared" si="5"/>
        <v>0</v>
      </c>
      <c r="V43" s="20"/>
      <c r="W43">
        <f>IF(ISNA(VLOOKUP(I43,Матер!$A$2:$C$85,3,0)),0,VLOOKUP(I43,Матер!$A$2:$C$85,3,0))</f>
        <v>7800</v>
      </c>
      <c r="X43"/>
      <c r="Y43" s="71" t="s">
        <v>77</v>
      </c>
      <c r="Z43" s="17">
        <v>1591</v>
      </c>
      <c r="AA43" s="11">
        <f>+Z43*D43/1000</f>
        <v>14.319000000000001</v>
      </c>
    </row>
    <row r="44" spans="1:27" s="11" customFormat="1">
      <c r="A44" s="12"/>
      <c r="B44" s="35"/>
      <c r="C44" s="12"/>
      <c r="D44" s="12"/>
      <c r="E44" s="23"/>
      <c r="F44" s="23"/>
      <c r="G44" s="8"/>
      <c r="H44" s="8"/>
      <c r="I44" s="169" t="s">
        <v>85</v>
      </c>
      <c r="J44" s="8" t="str">
        <f>IF(ISNA(VLOOKUP(I44,Матер!$A$2:$C$85,2,0)),0,VLOOKUP(I44,Матер!$A$2:$C$85,2,0))</f>
        <v>шт</v>
      </c>
      <c r="K44" s="12">
        <f>+D43</f>
        <v>9</v>
      </c>
      <c r="L44" s="8" t="s">
        <v>142</v>
      </c>
      <c r="M44" s="20"/>
      <c r="N44" s="20">
        <v>1</v>
      </c>
      <c r="O44" s="20">
        <v>0.65</v>
      </c>
      <c r="P44" s="20"/>
      <c r="Q44" s="20">
        <f t="shared" si="6"/>
        <v>5.8500000000000005</v>
      </c>
      <c r="R44" s="20">
        <f t="shared" si="2"/>
        <v>5.8500000000000005</v>
      </c>
      <c r="S44" s="20">
        <f t="shared" si="3"/>
        <v>0</v>
      </c>
      <c r="T44" s="20">
        <f t="shared" si="4"/>
        <v>0</v>
      </c>
      <c r="U44" s="20">
        <f t="shared" si="5"/>
        <v>0</v>
      </c>
      <c r="V44" s="20"/>
      <c r="W44">
        <f>IF(ISNA(VLOOKUP(I44,Матер!$A$2:$C$85,3,0)),0,VLOOKUP(I44,Матер!$A$2:$C$85,3,0))</f>
        <v>186.75</v>
      </c>
      <c r="X44"/>
      <c r="Y44" s="20"/>
      <c r="AA44" s="11">
        <f>+Z44*D44</f>
        <v>0</v>
      </c>
    </row>
    <row r="45" spans="1:27" s="11" customFormat="1">
      <c r="A45" s="12"/>
      <c r="B45" s="35"/>
      <c r="C45" s="12"/>
      <c r="D45" s="12"/>
      <c r="E45" s="23"/>
      <c r="F45" s="23"/>
      <c r="G45" s="8"/>
      <c r="H45" s="8"/>
      <c r="I45" s="169" t="s">
        <v>74</v>
      </c>
      <c r="J45" s="8" t="s">
        <v>171</v>
      </c>
      <c r="K45" s="8">
        <f>(D43*3/50*100)/100</f>
        <v>0.54</v>
      </c>
      <c r="L45" s="8" t="s">
        <v>142</v>
      </c>
      <c r="M45" s="20"/>
      <c r="N45" s="20">
        <v>1</v>
      </c>
      <c r="O45" s="20">
        <v>3.9</v>
      </c>
      <c r="P45" s="20"/>
      <c r="Q45" s="20">
        <f t="shared" si="6"/>
        <v>2.1059999999999999</v>
      </c>
      <c r="R45" s="20">
        <f t="shared" si="2"/>
        <v>2.1059999999999999</v>
      </c>
      <c r="S45" s="20">
        <f t="shared" si="3"/>
        <v>0</v>
      </c>
      <c r="T45" s="20">
        <f t="shared" si="4"/>
        <v>0</v>
      </c>
      <c r="U45" s="20">
        <f t="shared" si="5"/>
        <v>0</v>
      </c>
      <c r="V45" s="20"/>
      <c r="W45">
        <f>IF(ISNA(VLOOKUP(I45,Матер!$A$2:$C$85,3,0)),0,VLOOKUP(I45,Матер!$A$2:$C$85,3,0))</f>
        <v>1500</v>
      </c>
      <c r="X45"/>
      <c r="Y45" s="20"/>
    </row>
    <row r="46" spans="1:27" s="11" customFormat="1">
      <c r="A46" s="12"/>
      <c r="B46" s="35"/>
      <c r="C46" s="12"/>
      <c r="D46" s="12"/>
      <c r="E46" s="23"/>
      <c r="F46" s="23"/>
      <c r="G46" s="8"/>
      <c r="H46" s="8"/>
      <c r="I46" s="169" t="s">
        <v>72</v>
      </c>
      <c r="J46" s="8" t="str">
        <f>IF(ISNA(VLOOKUP(I46,Матер!$A$2:$C$85,2,0)),0,VLOOKUP(I46,Матер!$A$2:$C$85,2,0))</f>
        <v>упак/100шт</v>
      </c>
      <c r="K46" s="8">
        <f>(D43*2)/100</f>
        <v>0.18</v>
      </c>
      <c r="L46" s="8" t="s">
        <v>142</v>
      </c>
      <c r="M46" s="20"/>
      <c r="N46" s="20">
        <v>1</v>
      </c>
      <c r="O46" s="20">
        <v>1</v>
      </c>
      <c r="P46" s="20"/>
      <c r="Q46" s="20">
        <f t="shared" si="6"/>
        <v>0.18</v>
      </c>
      <c r="R46" s="20">
        <f t="shared" si="2"/>
        <v>0.18</v>
      </c>
      <c r="S46" s="20">
        <f t="shared" si="3"/>
        <v>0</v>
      </c>
      <c r="T46" s="20">
        <f t="shared" si="4"/>
        <v>0</v>
      </c>
      <c r="U46" s="20">
        <f t="shared" si="5"/>
        <v>0</v>
      </c>
      <c r="V46" s="20"/>
      <c r="W46">
        <f>IF(ISNA(VLOOKUP(I46,Матер!$A$2:$C$85,3,0)),0,VLOOKUP(I46,Матер!$A$2:$C$85,3,0))</f>
        <v>600</v>
      </c>
      <c r="X46"/>
      <c r="Y46" s="20"/>
      <c r="AA46" s="11">
        <f>+Z46*D46</f>
        <v>0</v>
      </c>
    </row>
    <row r="47" spans="1:27" s="11" customFormat="1">
      <c r="A47" s="12"/>
      <c r="B47" s="35"/>
      <c r="C47" s="12"/>
      <c r="D47" s="12"/>
      <c r="E47" s="23"/>
      <c r="F47" s="23"/>
      <c r="G47" s="8"/>
      <c r="H47" s="8"/>
      <c r="I47" s="169" t="s">
        <v>70</v>
      </c>
      <c r="J47" s="8" t="str">
        <f>IF(ISNA(VLOOKUP(I47,Матер!$A$2:$C$85,2,0)),0,VLOOKUP(I47,Матер!$A$2:$C$85,2,0))</f>
        <v>шт</v>
      </c>
      <c r="K47" s="12">
        <f>+D43*4</f>
        <v>36</v>
      </c>
      <c r="L47" s="8" t="s">
        <v>142</v>
      </c>
      <c r="M47" s="20"/>
      <c r="N47" s="20">
        <v>1</v>
      </c>
      <c r="O47" s="20">
        <v>1.4999999999999999E-2</v>
      </c>
      <c r="P47" s="20"/>
      <c r="Q47" s="20">
        <f t="shared" si="6"/>
        <v>0.54</v>
      </c>
      <c r="R47" s="20">
        <f t="shared" si="2"/>
        <v>0.54</v>
      </c>
      <c r="S47" s="20">
        <f t="shared" si="3"/>
        <v>0</v>
      </c>
      <c r="T47" s="20">
        <f t="shared" si="4"/>
        <v>0</v>
      </c>
      <c r="U47" s="20">
        <f t="shared" si="5"/>
        <v>0</v>
      </c>
      <c r="V47" s="20"/>
      <c r="W47">
        <f>IF(ISNA(VLOOKUP(I47,Матер!$A$2:$C$85,3,0)),0,VLOOKUP(I47,Матер!$A$2:$C$85,3,0))</f>
        <v>3.5169999999999999</v>
      </c>
      <c r="X47"/>
      <c r="Y47" s="20"/>
      <c r="AA47" s="11">
        <f>+Z47*D47</f>
        <v>0</v>
      </c>
    </row>
    <row r="48" spans="1:27" s="11" customFormat="1">
      <c r="A48" s="12"/>
      <c r="B48" s="35"/>
      <c r="C48" s="12"/>
      <c r="D48" s="12"/>
      <c r="E48" s="23"/>
      <c r="F48" s="23"/>
      <c r="G48" s="8"/>
      <c r="H48" s="8"/>
      <c r="I48" s="169" t="s">
        <v>174</v>
      </c>
      <c r="J48" s="8" t="s">
        <v>16</v>
      </c>
      <c r="K48" s="12">
        <f>+D43*0.4</f>
        <v>3.6</v>
      </c>
      <c r="L48" s="8" t="s">
        <v>142</v>
      </c>
      <c r="M48" s="20"/>
      <c r="N48" s="20">
        <v>3</v>
      </c>
      <c r="O48" s="149">
        <v>1</v>
      </c>
      <c r="P48" s="20"/>
      <c r="Q48" s="20">
        <f t="shared" si="6"/>
        <v>3.6</v>
      </c>
      <c r="R48" s="20">
        <f t="shared" si="2"/>
        <v>0</v>
      </c>
      <c r="S48" s="20">
        <f t="shared" si="3"/>
        <v>0</v>
      </c>
      <c r="T48" s="20">
        <f t="shared" si="4"/>
        <v>3.6</v>
      </c>
      <c r="U48" s="20">
        <f t="shared" si="5"/>
        <v>0</v>
      </c>
      <c r="V48" s="143" t="s">
        <v>178</v>
      </c>
      <c r="W48">
        <f>IF(ISNA(VLOOKUP(I48,Матер!$A$2:$C$85,3,0)),0,VLOOKUP(I48,Матер!$A$2:$C$85,3,0))</f>
        <v>0</v>
      </c>
      <c r="X48"/>
      <c r="Y48" s="20"/>
      <c r="AA48" s="11">
        <f>+Z48*D48</f>
        <v>0</v>
      </c>
    </row>
    <row r="49" spans="1:27" s="11" customFormat="1">
      <c r="A49" s="12"/>
      <c r="B49" s="35"/>
      <c r="C49" s="12"/>
      <c r="D49" s="12"/>
      <c r="E49" s="23"/>
      <c r="F49" s="23"/>
      <c r="G49" s="8"/>
      <c r="H49" s="8"/>
      <c r="I49" s="169" t="s">
        <v>46</v>
      </c>
      <c r="J49" s="8" t="s">
        <v>16</v>
      </c>
      <c r="K49" s="171">
        <f>D43*9.5*0.257</f>
        <v>21.973500000000001</v>
      </c>
      <c r="L49" s="8" t="s">
        <v>142</v>
      </c>
      <c r="M49" s="20"/>
      <c r="N49" s="20">
        <v>1</v>
      </c>
      <c r="O49" s="20">
        <v>1</v>
      </c>
      <c r="P49" s="20"/>
      <c r="Q49" s="77">
        <f>O49*K49</f>
        <v>21.973500000000001</v>
      </c>
      <c r="R49" s="77">
        <f t="shared" si="2"/>
        <v>21.973500000000001</v>
      </c>
      <c r="S49" s="20">
        <f t="shared" si="3"/>
        <v>0</v>
      </c>
      <c r="T49" s="20">
        <f t="shared" si="4"/>
        <v>0</v>
      </c>
      <c r="U49" s="20">
        <f t="shared" si="5"/>
        <v>0</v>
      </c>
      <c r="V49" s="20"/>
      <c r="W49"/>
      <c r="X49"/>
      <c r="Y49" s="20"/>
    </row>
    <row r="50" spans="1:27" s="11" customFormat="1">
      <c r="A50" s="12"/>
      <c r="B50" s="35"/>
      <c r="C50" s="12"/>
      <c r="D50" s="12"/>
      <c r="E50" s="23"/>
      <c r="F50" s="23"/>
      <c r="G50" s="8"/>
      <c r="H50" s="8"/>
      <c r="I50" s="169" t="s">
        <v>49</v>
      </c>
      <c r="J50" s="8" t="s">
        <v>16</v>
      </c>
      <c r="K50" s="171">
        <f>D43*3*1.192</f>
        <v>32.183999999999997</v>
      </c>
      <c r="L50" s="8" t="s">
        <v>142</v>
      </c>
      <c r="M50" s="20"/>
      <c r="N50" s="20">
        <v>1</v>
      </c>
      <c r="O50" s="20">
        <v>1</v>
      </c>
      <c r="P50" s="20"/>
      <c r="Q50" s="77">
        <f>O50*K50</f>
        <v>32.183999999999997</v>
      </c>
      <c r="R50" s="77">
        <f t="shared" si="2"/>
        <v>32.183999999999997</v>
      </c>
      <c r="S50" s="20">
        <f t="shared" si="3"/>
        <v>0</v>
      </c>
      <c r="T50" s="20">
        <f t="shared" si="4"/>
        <v>0</v>
      </c>
      <c r="U50" s="20">
        <f t="shared" si="5"/>
        <v>0</v>
      </c>
      <c r="V50" s="20"/>
      <c r="W50"/>
      <c r="X50"/>
      <c r="Y50" s="20"/>
    </row>
    <row r="51" spans="1:27" s="11" customFormat="1">
      <c r="A51" s="12"/>
      <c r="B51" s="35"/>
      <c r="C51" s="12"/>
      <c r="D51" s="12"/>
      <c r="E51" s="23"/>
      <c r="F51" s="23"/>
      <c r="G51" s="8"/>
      <c r="H51" s="8"/>
      <c r="I51" s="169" t="s">
        <v>45</v>
      </c>
      <c r="J51" s="8" t="str">
        <f>IF(ISNA(VLOOKUP(I51,Матер!$A$2:$C$85,2,0)),0,VLOOKUP(I51,Матер!$A$2:$C$85,2,0))</f>
        <v>шт</v>
      </c>
      <c r="K51" s="21">
        <f>5*D43</f>
        <v>45</v>
      </c>
      <c r="L51" s="8" t="s">
        <v>142</v>
      </c>
      <c r="M51" s="20"/>
      <c r="N51" s="20">
        <v>1</v>
      </c>
      <c r="O51" s="20">
        <v>0.42</v>
      </c>
      <c r="P51" s="20"/>
      <c r="Q51" s="20">
        <f>O51*K51</f>
        <v>18.899999999999999</v>
      </c>
      <c r="R51" s="20">
        <f t="shared" si="2"/>
        <v>18.899999999999999</v>
      </c>
      <c r="S51" s="20">
        <f t="shared" si="3"/>
        <v>0</v>
      </c>
      <c r="T51" s="20">
        <f t="shared" si="4"/>
        <v>0</v>
      </c>
      <c r="U51" s="20">
        <f t="shared" si="5"/>
        <v>0</v>
      </c>
      <c r="V51" s="20"/>
      <c r="W51"/>
      <c r="X51"/>
      <c r="Y51" s="20"/>
    </row>
    <row r="52" spans="1:27" s="11" customFormat="1">
      <c r="A52" s="12"/>
      <c r="B52" s="35"/>
      <c r="C52" s="12"/>
      <c r="D52" s="12"/>
      <c r="E52" s="23"/>
      <c r="F52" s="23"/>
      <c r="G52" s="8"/>
      <c r="H52" s="8"/>
      <c r="I52" s="169" t="s">
        <v>94</v>
      </c>
      <c r="J52" s="8" t="str">
        <f>IF(ISNA(VLOOKUP(I52,Матер!$A$2:$C$85,2,0)),0,VLOOKUP(I52,Матер!$A$2:$C$85,2,0))</f>
        <v>шт</v>
      </c>
      <c r="K52" s="21">
        <f>D43</f>
        <v>9</v>
      </c>
      <c r="L52" s="8" t="s">
        <v>142</v>
      </c>
      <c r="M52" s="20"/>
      <c r="N52" s="20">
        <v>1</v>
      </c>
      <c r="O52" s="20">
        <v>0.19</v>
      </c>
      <c r="P52" s="20"/>
      <c r="Q52" s="20">
        <f>O52*K52</f>
        <v>1.71</v>
      </c>
      <c r="R52" s="20">
        <f t="shared" si="2"/>
        <v>1.71</v>
      </c>
      <c r="S52" s="20">
        <f t="shared" si="3"/>
        <v>0</v>
      </c>
      <c r="T52" s="20">
        <f t="shared" si="4"/>
        <v>0</v>
      </c>
      <c r="U52" s="20">
        <f t="shared" si="5"/>
        <v>0</v>
      </c>
      <c r="V52" s="20"/>
      <c r="W52"/>
      <c r="X52"/>
      <c r="Y52" s="20"/>
    </row>
    <row r="53" spans="1:27" s="11" customFormat="1" ht="25.5">
      <c r="A53" s="12"/>
      <c r="B53" s="35"/>
      <c r="C53" s="12"/>
      <c r="D53" s="12"/>
      <c r="E53" s="23"/>
      <c r="F53" s="23"/>
      <c r="G53" s="8"/>
      <c r="H53" s="8"/>
      <c r="I53" s="169" t="s">
        <v>92</v>
      </c>
      <c r="J53" s="8" t="str">
        <f>IF(ISNA(VLOOKUP(I53,Матер!$A$2:$C$85,2,0)),0,VLOOKUP(I53,Матер!$A$2:$C$85,2,0))</f>
        <v>кг</v>
      </c>
      <c r="K53" s="12">
        <f>+D43*4</f>
        <v>36</v>
      </c>
      <c r="L53" s="8" t="s">
        <v>142</v>
      </c>
      <c r="M53" s="20"/>
      <c r="N53" s="20">
        <v>3</v>
      </c>
      <c r="O53" s="149">
        <v>1</v>
      </c>
      <c r="P53" s="20"/>
      <c r="Q53" s="20">
        <f>O53*K53</f>
        <v>36</v>
      </c>
      <c r="R53" s="20">
        <f t="shared" si="2"/>
        <v>0</v>
      </c>
      <c r="S53" s="20">
        <f t="shared" si="3"/>
        <v>0</v>
      </c>
      <c r="T53" s="20">
        <f t="shared" si="4"/>
        <v>36</v>
      </c>
      <c r="U53" s="20">
        <f t="shared" si="5"/>
        <v>0</v>
      </c>
      <c r="V53" s="143" t="s">
        <v>178</v>
      </c>
      <c r="W53"/>
      <c r="X53"/>
      <c r="Y53" s="20"/>
    </row>
    <row r="54" spans="1:27" s="11" customFormat="1" ht="25.5" hidden="1" outlineLevel="1">
      <c r="A54" s="12">
        <v>10</v>
      </c>
      <c r="B54" s="19" t="s">
        <v>96</v>
      </c>
      <c r="C54" s="12" t="s">
        <v>15</v>
      </c>
      <c r="D54" s="8">
        <v>0</v>
      </c>
      <c r="E54" s="23"/>
      <c r="F54" s="23"/>
      <c r="G54" s="8"/>
      <c r="H54" s="8"/>
      <c r="I54" s="169" t="s">
        <v>84</v>
      </c>
      <c r="J54" s="8" t="str">
        <f>IF(ISNA(VLOOKUP(I54,Матер!$A$2:$C$85,2,0)),0,VLOOKUP(I54,Матер!$A$2:$C$85,2,0))</f>
        <v>шт</v>
      </c>
      <c r="K54" s="12">
        <f>+D54</f>
        <v>0</v>
      </c>
      <c r="L54" s="8"/>
      <c r="M54" s="20"/>
      <c r="N54" s="20"/>
      <c r="O54" s="20"/>
      <c r="P54" s="20"/>
      <c r="Q54" s="20">
        <f t="shared" ref="Q54:Q78" si="7">O54*K54</f>
        <v>0</v>
      </c>
      <c r="R54" s="20">
        <f t="shared" si="2"/>
        <v>0</v>
      </c>
      <c r="S54" s="20">
        <f t="shared" si="3"/>
        <v>0</v>
      </c>
      <c r="T54" s="20">
        <f t="shared" si="4"/>
        <v>0</v>
      </c>
      <c r="U54" s="20">
        <f t="shared" si="5"/>
        <v>0</v>
      </c>
      <c r="V54" s="20"/>
      <c r="W54">
        <f>IF(ISNA(VLOOKUP(I54,Матер!$A$2:$C$85,3,0)),0,VLOOKUP(I54,Матер!$A$2:$C$85,3,0))</f>
        <v>7800</v>
      </c>
      <c r="X54"/>
      <c r="Y54" s="71" t="s">
        <v>77</v>
      </c>
      <c r="Z54" s="17">
        <v>1591</v>
      </c>
      <c r="AA54" s="11">
        <f>+Z54*D54/1000</f>
        <v>0</v>
      </c>
    </row>
    <row r="55" spans="1:27" s="11" customFormat="1" hidden="1" outlineLevel="1">
      <c r="A55" s="12"/>
      <c r="B55" s="35"/>
      <c r="C55" s="12"/>
      <c r="D55" s="12"/>
      <c r="E55" s="23"/>
      <c r="F55" s="23"/>
      <c r="G55" s="8"/>
      <c r="H55" s="8"/>
      <c r="I55" s="169" t="s">
        <v>86</v>
      </c>
      <c r="J55" s="8" t="str">
        <f>IF(ISNA(VLOOKUP(I55,Матер!$A$2:$C$85,2,0)),0,VLOOKUP(I55,Матер!$A$2:$C$85,2,0))</f>
        <v>шт</v>
      </c>
      <c r="K55" s="12">
        <f>+D54</f>
        <v>0</v>
      </c>
      <c r="L55" s="8"/>
      <c r="M55" s="20"/>
      <c r="N55" s="20"/>
      <c r="O55" s="20"/>
      <c r="P55" s="20"/>
      <c r="Q55" s="20">
        <f t="shared" si="7"/>
        <v>0</v>
      </c>
      <c r="R55" s="20">
        <f t="shared" si="2"/>
        <v>0</v>
      </c>
      <c r="S55" s="20">
        <f t="shared" si="3"/>
        <v>0</v>
      </c>
      <c r="T55" s="20">
        <f t="shared" si="4"/>
        <v>0</v>
      </c>
      <c r="U55" s="20">
        <f t="shared" si="5"/>
        <v>0</v>
      </c>
      <c r="V55" s="20"/>
      <c r="W55">
        <f>IF(ISNA(VLOOKUP(I55,Матер!$A$2:$C$85,3,0)),0,VLOOKUP(I55,Матер!$A$2:$C$85,3,0))</f>
        <v>100</v>
      </c>
      <c r="X55"/>
      <c r="Y55" s="20"/>
      <c r="AA55" s="11">
        <f>+Z55*D55</f>
        <v>0</v>
      </c>
    </row>
    <row r="56" spans="1:27" s="11" customFormat="1" hidden="1" outlineLevel="1">
      <c r="A56" s="12"/>
      <c r="B56" s="35"/>
      <c r="C56" s="12"/>
      <c r="D56" s="12"/>
      <c r="E56" s="23"/>
      <c r="F56" s="23"/>
      <c r="G56" s="8"/>
      <c r="H56" s="8"/>
      <c r="I56" s="169" t="s">
        <v>38</v>
      </c>
      <c r="J56" s="8" t="str">
        <f>IF(ISNA(VLOOKUP(I56,Матер!$A$2:$C$85,2,0)),0,VLOOKUP(I56,Матер!$A$2:$C$85,2,0))</f>
        <v>шт</v>
      </c>
      <c r="K56" s="12">
        <f>+D54</f>
        <v>0</v>
      </c>
      <c r="L56" s="8"/>
      <c r="M56" s="20"/>
      <c r="N56" s="20"/>
      <c r="O56" s="20"/>
      <c r="P56" s="20"/>
      <c r="Q56" s="20">
        <f t="shared" si="7"/>
        <v>0</v>
      </c>
      <c r="R56" s="20">
        <f t="shared" si="2"/>
        <v>0</v>
      </c>
      <c r="S56" s="20">
        <f t="shared" si="3"/>
        <v>0</v>
      </c>
      <c r="T56" s="20">
        <f t="shared" si="4"/>
        <v>0</v>
      </c>
      <c r="U56" s="20">
        <f t="shared" si="5"/>
        <v>0</v>
      </c>
      <c r="V56" s="20"/>
      <c r="W56">
        <f>IF(ISNA(VLOOKUP(I56,Матер!$A$2:$C$85,3,0)),0,VLOOKUP(I56,Матер!$A$2:$C$85,3,0))</f>
        <v>66.81</v>
      </c>
      <c r="X56"/>
      <c r="Y56" s="20"/>
    </row>
    <row r="57" spans="1:27" s="11" customFormat="1" hidden="1" outlineLevel="1">
      <c r="A57" s="12"/>
      <c r="B57" s="35"/>
      <c r="C57" s="12"/>
      <c r="D57" s="12"/>
      <c r="E57" s="23"/>
      <c r="F57" s="23"/>
      <c r="G57" s="8"/>
      <c r="H57" s="8"/>
      <c r="I57" s="169" t="s">
        <v>74</v>
      </c>
      <c r="J57" s="8" t="str">
        <f>IF(ISNA(VLOOKUP(I57,Матер!$A$2:$C$85,2,0)),0,VLOOKUP(I57,Матер!$A$2:$C$85,2,0))</f>
        <v>упак/50м</v>
      </c>
      <c r="K57" s="8">
        <f>+D54*0.02</f>
        <v>0</v>
      </c>
      <c r="L57" s="8"/>
      <c r="M57" s="20"/>
      <c r="N57" s="20"/>
      <c r="O57" s="20"/>
      <c r="P57" s="20"/>
      <c r="Q57" s="20">
        <f t="shared" si="7"/>
        <v>0</v>
      </c>
      <c r="R57" s="20">
        <f t="shared" si="2"/>
        <v>0</v>
      </c>
      <c r="S57" s="20">
        <f t="shared" si="3"/>
        <v>0</v>
      </c>
      <c r="T57" s="20">
        <f t="shared" si="4"/>
        <v>0</v>
      </c>
      <c r="U57" s="20">
        <f t="shared" si="5"/>
        <v>0</v>
      </c>
      <c r="V57" s="20"/>
      <c r="W57">
        <f>IF(ISNA(VLOOKUP(I57,Матер!$A$2:$C$85,3,0)),0,VLOOKUP(I57,Матер!$A$2:$C$85,3,0))</f>
        <v>1500</v>
      </c>
      <c r="X57"/>
      <c r="Y57" s="20"/>
    </row>
    <row r="58" spans="1:27" s="11" customFormat="1" hidden="1" outlineLevel="1">
      <c r="A58" s="12"/>
      <c r="B58" s="35"/>
      <c r="C58" s="12"/>
      <c r="D58" s="12"/>
      <c r="E58" s="23"/>
      <c r="F58" s="23"/>
      <c r="G58" s="8"/>
      <c r="H58" s="8"/>
      <c r="I58" s="169" t="s">
        <v>72</v>
      </c>
      <c r="J58" s="8" t="str">
        <f>IF(ISNA(VLOOKUP(I58,Матер!$A$2:$C$85,2,0)),0,VLOOKUP(I58,Матер!$A$2:$C$85,2,0))</f>
        <v>упак/100шт</v>
      </c>
      <c r="K58" s="8">
        <f>D54*0.01*2</f>
        <v>0</v>
      </c>
      <c r="L58" s="8" t="s">
        <v>141</v>
      </c>
      <c r="M58" s="20"/>
      <c r="N58" s="20"/>
      <c r="O58" s="20"/>
      <c r="P58" s="20"/>
      <c r="Q58" s="20">
        <f t="shared" si="7"/>
        <v>0</v>
      </c>
      <c r="R58" s="20">
        <f t="shared" si="2"/>
        <v>0</v>
      </c>
      <c r="S58" s="20">
        <f t="shared" si="3"/>
        <v>0</v>
      </c>
      <c r="T58" s="20">
        <f t="shared" si="4"/>
        <v>0</v>
      </c>
      <c r="U58" s="20">
        <f t="shared" si="5"/>
        <v>0</v>
      </c>
      <c r="V58" s="20"/>
      <c r="W58">
        <f>IF(ISNA(VLOOKUP(I58,Матер!$A$2:$C$85,3,0)),0,VLOOKUP(I58,Матер!$A$2:$C$85,3,0))</f>
        <v>600</v>
      </c>
      <c r="X58"/>
      <c r="Y58" s="20"/>
      <c r="AA58" s="11">
        <f>+Z58*D58</f>
        <v>0</v>
      </c>
    </row>
    <row r="59" spans="1:27" s="11" customFormat="1" hidden="1" outlineLevel="1">
      <c r="A59" s="12"/>
      <c r="B59" s="35"/>
      <c r="C59" s="12"/>
      <c r="D59" s="12"/>
      <c r="E59" s="23"/>
      <c r="F59" s="23"/>
      <c r="G59" s="8"/>
      <c r="H59" s="8"/>
      <c r="I59" s="169" t="s">
        <v>70</v>
      </c>
      <c r="J59" s="8" t="str">
        <f>IF(ISNA(VLOOKUP(I59,Матер!$A$2:$C$85,2,0)),0,VLOOKUP(I59,Матер!$A$2:$C$85,2,0))</f>
        <v>шт</v>
      </c>
      <c r="K59" s="12">
        <f>+D54*4</f>
        <v>0</v>
      </c>
      <c r="L59" s="8"/>
      <c r="M59" s="20"/>
      <c r="N59" s="20"/>
      <c r="O59" s="20"/>
      <c r="P59" s="20"/>
      <c r="Q59" s="20">
        <f t="shared" si="7"/>
        <v>0</v>
      </c>
      <c r="R59" s="20">
        <f t="shared" si="2"/>
        <v>0</v>
      </c>
      <c r="S59" s="20">
        <f t="shared" si="3"/>
        <v>0</v>
      </c>
      <c r="T59" s="20">
        <f t="shared" si="4"/>
        <v>0</v>
      </c>
      <c r="U59" s="20">
        <f t="shared" si="5"/>
        <v>0</v>
      </c>
      <c r="V59" s="20"/>
      <c r="W59">
        <f>IF(ISNA(VLOOKUP(I59,Матер!$A$2:$C$85,3,0)),0,VLOOKUP(I59,Матер!$A$2:$C$85,3,0))</f>
        <v>3.5169999999999999</v>
      </c>
      <c r="X59"/>
      <c r="Y59" s="20"/>
      <c r="AA59" s="11">
        <f>+Z59*D59</f>
        <v>0</v>
      </c>
    </row>
    <row r="60" spans="1:27" s="11" customFormat="1" hidden="1" outlineLevel="1">
      <c r="A60" s="12"/>
      <c r="B60" s="35"/>
      <c r="C60" s="12"/>
      <c r="D60" s="12"/>
      <c r="E60" s="23"/>
      <c r="F60" s="23"/>
      <c r="G60" s="8"/>
      <c r="H60" s="8"/>
      <c r="I60" s="169" t="s">
        <v>66</v>
      </c>
      <c r="J60" s="8" t="str">
        <f>IF(ISNA(VLOOKUP(I60,Матер!$A$2:$C$85,2,0)),0,VLOOKUP(I60,Матер!$A$2:$C$85,2,0))</f>
        <v>кг</v>
      </c>
      <c r="K60" s="12">
        <f>+D54*0.3</f>
        <v>0</v>
      </c>
      <c r="L60" s="8"/>
      <c r="M60" s="20"/>
      <c r="N60" s="20"/>
      <c r="O60" s="20"/>
      <c r="P60" s="20"/>
      <c r="Q60" s="20">
        <f t="shared" si="7"/>
        <v>0</v>
      </c>
      <c r="R60" s="20">
        <f t="shared" si="2"/>
        <v>0</v>
      </c>
      <c r="S60" s="20">
        <f t="shared" si="3"/>
        <v>0</v>
      </c>
      <c r="T60" s="20">
        <f t="shared" si="4"/>
        <v>0</v>
      </c>
      <c r="U60" s="20">
        <f t="shared" si="5"/>
        <v>0</v>
      </c>
      <c r="V60" s="20"/>
      <c r="W60">
        <f>IF(ISNA(VLOOKUP(I60,Матер!$A$2:$C$85,3,0)),0,VLOOKUP(I60,Матер!$A$2:$C$85,3,0))</f>
        <v>86.470000000000013</v>
      </c>
      <c r="X60"/>
      <c r="Y60" s="20"/>
      <c r="AA60" s="11">
        <f>+Z60*D60</f>
        <v>0</v>
      </c>
    </row>
    <row r="61" spans="1:27" s="11" customFormat="1" ht="25.5" hidden="1" outlineLevel="1">
      <c r="A61" s="12"/>
      <c r="B61" s="35"/>
      <c r="C61" s="12"/>
      <c r="D61" s="12"/>
      <c r="E61" s="23"/>
      <c r="F61" s="23"/>
      <c r="G61" s="8"/>
      <c r="H61" s="8"/>
      <c r="I61" s="169" t="s">
        <v>92</v>
      </c>
      <c r="J61" s="8" t="str">
        <f>IF(ISNA(VLOOKUP(I61,Матер!$A$2:$C$85,2,0)),0,VLOOKUP(I61,Матер!$A$2:$C$85,2,0))</f>
        <v>кг</v>
      </c>
      <c r="K61" s="12">
        <f>+D54</f>
        <v>0</v>
      </c>
      <c r="L61" s="8"/>
      <c r="M61" s="20"/>
      <c r="N61" s="20"/>
      <c r="O61" s="20"/>
      <c r="P61" s="20"/>
      <c r="Q61" s="20">
        <f t="shared" si="7"/>
        <v>0</v>
      </c>
      <c r="R61" s="20">
        <f t="shared" si="2"/>
        <v>0</v>
      </c>
      <c r="S61" s="20">
        <f t="shared" si="3"/>
        <v>0</v>
      </c>
      <c r="T61" s="20">
        <f t="shared" si="4"/>
        <v>0</v>
      </c>
      <c r="U61" s="20">
        <f t="shared" si="5"/>
        <v>0</v>
      </c>
      <c r="V61" s="20"/>
      <c r="W61">
        <f>IF(ISNA(VLOOKUP(I61,Матер!$A$2:$C$85,3,0)),0,VLOOKUP(I61,Матер!$A$2:$C$85,3,0))</f>
        <v>80</v>
      </c>
      <c r="X61" t="e">
        <f>SUM(#REF!)</f>
        <v>#REF!</v>
      </c>
      <c r="Y61" s="20"/>
    </row>
    <row r="62" spans="1:27" s="11" customFormat="1" ht="25.5" hidden="1" outlineLevel="1">
      <c r="A62" s="12"/>
      <c r="B62" s="35" t="s">
        <v>97</v>
      </c>
      <c r="C62" s="12" t="s">
        <v>14</v>
      </c>
      <c r="D62" s="12">
        <f>+D54*0.02</f>
        <v>0</v>
      </c>
      <c r="E62" s="23"/>
      <c r="F62" s="23"/>
      <c r="G62" s="8"/>
      <c r="H62" s="8"/>
      <c r="I62" s="169" t="s">
        <v>91</v>
      </c>
      <c r="J62" s="8" t="str">
        <f>IF(ISNA(VLOOKUP(I62,Матер!$A$2:$C$85,2,0)),0,VLOOKUP(I62,Матер!$A$2:$C$85,2,0))</f>
        <v>шт</v>
      </c>
      <c r="K62" s="12">
        <f>+D54*4</f>
        <v>0</v>
      </c>
      <c r="L62" s="8"/>
      <c r="M62" s="20"/>
      <c r="N62" s="20"/>
      <c r="O62" s="20"/>
      <c r="P62" s="20"/>
      <c r="Q62" s="20">
        <f t="shared" si="7"/>
        <v>0</v>
      </c>
      <c r="R62" s="20">
        <f t="shared" si="2"/>
        <v>0</v>
      </c>
      <c r="S62" s="20">
        <f t="shared" si="3"/>
        <v>0</v>
      </c>
      <c r="T62" s="20">
        <f t="shared" si="4"/>
        <v>0</v>
      </c>
      <c r="U62" s="20">
        <f t="shared" si="5"/>
        <v>0</v>
      </c>
      <c r="V62" s="20"/>
      <c r="W62">
        <f>IF(ISNA(VLOOKUP(I62,Матер!$A$2:$C$85,3,0)),0,VLOOKUP(I62,Матер!$A$2:$C$85,3,0))</f>
        <v>98</v>
      </c>
      <c r="X62"/>
      <c r="Y62" s="20"/>
    </row>
    <row r="63" spans="1:27" s="11" customFormat="1" hidden="1" outlineLevel="1">
      <c r="A63" s="12"/>
      <c r="B63" s="35"/>
      <c r="C63" s="12"/>
      <c r="D63" s="12"/>
      <c r="E63" s="23"/>
      <c r="F63" s="23"/>
      <c r="G63" s="8"/>
      <c r="H63" s="8"/>
      <c r="I63" s="169" t="s">
        <v>86</v>
      </c>
      <c r="J63" s="8" t="str">
        <f>IF(ISNA(VLOOKUP(I63,Матер!$A$2:$C$85,2,0)),0,VLOOKUP(I63,Матер!$A$2:$C$85,2,0))</f>
        <v>шт</v>
      </c>
      <c r="K63" s="12">
        <f>+D54</f>
        <v>0</v>
      </c>
      <c r="L63" s="8"/>
      <c r="M63" s="20"/>
      <c r="N63" s="20"/>
      <c r="O63" s="20"/>
      <c r="P63" s="20"/>
      <c r="Q63" s="20">
        <f t="shared" si="7"/>
        <v>0</v>
      </c>
      <c r="R63" s="20">
        <f t="shared" si="2"/>
        <v>0</v>
      </c>
      <c r="S63" s="20">
        <f t="shared" si="3"/>
        <v>0</v>
      </c>
      <c r="T63" s="20">
        <f t="shared" si="4"/>
        <v>0</v>
      </c>
      <c r="U63" s="20">
        <f t="shared" si="5"/>
        <v>0</v>
      </c>
      <c r="V63" s="20"/>
      <c r="W63">
        <f>IF(ISNA(VLOOKUP(I63,Матер!$A$2:$C$85,3,0)),0,VLOOKUP(I63,Матер!$A$2:$C$85,3,0))</f>
        <v>100</v>
      </c>
      <c r="X63"/>
      <c r="Y63" s="20"/>
    </row>
    <row r="64" spans="1:27" s="11" customFormat="1" hidden="1" outlineLevel="1">
      <c r="A64" s="12"/>
      <c r="B64" s="35"/>
      <c r="C64" s="12"/>
      <c r="D64" s="12"/>
      <c r="E64" s="23"/>
      <c r="F64" s="23"/>
      <c r="G64" s="8"/>
      <c r="H64" s="8"/>
      <c r="I64" s="169" t="s">
        <v>38</v>
      </c>
      <c r="J64" s="8" t="str">
        <f>IF(ISNA(VLOOKUP(I64,Матер!$A$2:$C$85,2,0)),0,VLOOKUP(I64,Матер!$A$2:$C$85,2,0))</f>
        <v>шт</v>
      </c>
      <c r="K64" s="12">
        <f>+D54</f>
        <v>0</v>
      </c>
      <c r="L64" s="8"/>
      <c r="M64" s="20"/>
      <c r="N64" s="20"/>
      <c r="O64" s="20"/>
      <c r="P64" s="20"/>
      <c r="Q64" s="20">
        <f t="shared" si="7"/>
        <v>0</v>
      </c>
      <c r="R64" s="20">
        <f t="shared" si="2"/>
        <v>0</v>
      </c>
      <c r="S64" s="20">
        <f t="shared" si="3"/>
        <v>0</v>
      </c>
      <c r="T64" s="20">
        <f t="shared" si="4"/>
        <v>0</v>
      </c>
      <c r="U64" s="20">
        <f t="shared" si="5"/>
        <v>0</v>
      </c>
      <c r="V64" s="20"/>
      <c r="W64">
        <f>IF(ISNA(VLOOKUP(I64,Матер!$A$2:$C$85,3,0)),0,VLOOKUP(I64,Матер!$A$2:$C$85,3,0))</f>
        <v>66.81</v>
      </c>
      <c r="X64"/>
      <c r="Y64" s="20"/>
    </row>
    <row r="65" spans="1:28" s="11" customFormat="1" hidden="1" outlineLevel="1">
      <c r="A65" s="12"/>
      <c r="B65" s="35"/>
      <c r="C65" s="12"/>
      <c r="D65" s="12"/>
      <c r="E65" s="23"/>
      <c r="F65" s="23"/>
      <c r="G65" s="8"/>
      <c r="H65" s="8"/>
      <c r="I65" s="169" t="s">
        <v>74</v>
      </c>
      <c r="J65" s="8" t="str">
        <f>IF(ISNA(VLOOKUP(I65,Матер!$A$2:$C$85,2,0)),0,VLOOKUP(I65,Матер!$A$2:$C$85,2,0))</f>
        <v>упак/50м</v>
      </c>
      <c r="K65" s="8">
        <f>+D54*0.02</f>
        <v>0</v>
      </c>
      <c r="L65" s="8"/>
      <c r="M65" s="20"/>
      <c r="N65" s="20"/>
      <c r="O65" s="20"/>
      <c r="P65" s="20"/>
      <c r="Q65" s="20">
        <f t="shared" si="7"/>
        <v>0</v>
      </c>
      <c r="R65" s="20">
        <f t="shared" si="2"/>
        <v>0</v>
      </c>
      <c r="S65" s="20">
        <f t="shared" si="3"/>
        <v>0</v>
      </c>
      <c r="T65" s="20">
        <f t="shared" si="4"/>
        <v>0</v>
      </c>
      <c r="U65" s="20">
        <f t="shared" si="5"/>
        <v>0</v>
      </c>
      <c r="V65" s="20"/>
      <c r="W65">
        <f>IF(ISNA(VLOOKUP(I65,Матер!$A$2:$C$85,3,0)),0,VLOOKUP(I65,Матер!$A$2:$C$85,3,0))</f>
        <v>1500</v>
      </c>
      <c r="X65"/>
      <c r="Y65" s="20"/>
    </row>
    <row r="66" spans="1:28" s="11" customFormat="1" hidden="1" outlineLevel="1">
      <c r="A66" s="12"/>
      <c r="B66" s="35"/>
      <c r="C66" s="12"/>
      <c r="D66" s="12"/>
      <c r="E66" s="23"/>
      <c r="F66" s="23"/>
      <c r="G66" s="8"/>
      <c r="H66" s="8"/>
      <c r="I66" s="169" t="s">
        <v>72</v>
      </c>
      <c r="J66" s="8" t="str">
        <f>IF(ISNA(VLOOKUP(I66,Матер!$A$2:$C$85,2,0)),0,VLOOKUP(I66,Матер!$A$2:$C$85,2,0))</f>
        <v>упак/100шт</v>
      </c>
      <c r="K66" s="8">
        <f>D54*0.01*2</f>
        <v>0</v>
      </c>
      <c r="L66" s="8"/>
      <c r="M66" s="20"/>
      <c r="N66" s="20"/>
      <c r="O66" s="20"/>
      <c r="P66" s="20"/>
      <c r="Q66" s="20">
        <f t="shared" si="7"/>
        <v>0</v>
      </c>
      <c r="R66" s="20">
        <f t="shared" si="2"/>
        <v>0</v>
      </c>
      <c r="S66" s="20">
        <f t="shared" si="3"/>
        <v>0</v>
      </c>
      <c r="T66" s="20">
        <f t="shared" si="4"/>
        <v>0</v>
      </c>
      <c r="U66" s="20">
        <f t="shared" si="5"/>
        <v>0</v>
      </c>
      <c r="V66" s="20"/>
      <c r="W66">
        <f>IF(ISNA(VLOOKUP(I66,Матер!$A$2:$C$85,3,0)),0,VLOOKUP(I66,Матер!$A$2:$C$85,3,0))</f>
        <v>600</v>
      </c>
      <c r="X66"/>
      <c r="Y66" s="20"/>
    </row>
    <row r="67" spans="1:28" s="11" customFormat="1" hidden="1" outlineLevel="1">
      <c r="A67" s="12"/>
      <c r="B67" s="35"/>
      <c r="C67" s="12"/>
      <c r="D67" s="12"/>
      <c r="E67" s="23"/>
      <c r="F67" s="23"/>
      <c r="G67" s="8"/>
      <c r="H67" s="8"/>
      <c r="I67" s="169" t="s">
        <v>70</v>
      </c>
      <c r="J67" s="8" t="str">
        <f>IF(ISNA(VLOOKUP(I67,Матер!$A$2:$C$85,2,0)),0,VLOOKUP(I67,Матер!$A$2:$C$85,2,0))</f>
        <v>шт</v>
      </c>
      <c r="K67" s="12">
        <f>+D54*4</f>
        <v>0</v>
      </c>
      <c r="L67" s="8"/>
      <c r="M67" s="20"/>
      <c r="N67" s="20"/>
      <c r="O67" s="20"/>
      <c r="P67" s="20"/>
      <c r="Q67" s="20">
        <f t="shared" si="7"/>
        <v>0</v>
      </c>
      <c r="R67" s="20">
        <f t="shared" si="2"/>
        <v>0</v>
      </c>
      <c r="S67" s="20">
        <f t="shared" si="3"/>
        <v>0</v>
      </c>
      <c r="T67" s="20">
        <f t="shared" si="4"/>
        <v>0</v>
      </c>
      <c r="U67" s="20">
        <f t="shared" si="5"/>
        <v>0</v>
      </c>
      <c r="V67" s="20"/>
      <c r="W67">
        <f>IF(ISNA(VLOOKUP(I67,Матер!$A$2:$C$85,3,0)),0,VLOOKUP(I67,Матер!$A$2:$C$85,3,0))</f>
        <v>3.5169999999999999</v>
      </c>
      <c r="X67"/>
      <c r="Y67" s="20"/>
    </row>
    <row r="68" spans="1:28" s="11" customFormat="1" ht="25.5" hidden="1" outlineLevel="1">
      <c r="A68" s="12"/>
      <c r="B68" s="35"/>
      <c r="C68" s="12"/>
      <c r="D68" s="12"/>
      <c r="E68" s="23"/>
      <c r="F68" s="23"/>
      <c r="G68" s="8"/>
      <c r="H68" s="8"/>
      <c r="I68" s="169" t="s">
        <v>57</v>
      </c>
      <c r="J68" s="8" t="str">
        <f>IF(ISNA(VLOOKUP(I68,Матер!$A$2:$C$85,2,0)),0,VLOOKUP(I68,Матер!$A$2:$C$85,2,0))</f>
        <v>км</v>
      </c>
      <c r="K68" s="12">
        <f>+D62</f>
        <v>0</v>
      </c>
      <c r="L68" s="8"/>
      <c r="M68" s="20"/>
      <c r="N68" s="20"/>
      <c r="O68" s="20"/>
      <c r="P68" s="20"/>
      <c r="Q68" s="20">
        <f t="shared" si="7"/>
        <v>0</v>
      </c>
      <c r="R68" s="20">
        <f t="shared" si="2"/>
        <v>0</v>
      </c>
      <c r="S68" s="20">
        <f t="shared" si="3"/>
        <v>0</v>
      </c>
      <c r="T68" s="20">
        <f t="shared" si="4"/>
        <v>0</v>
      </c>
      <c r="U68" s="20">
        <f t="shared" si="5"/>
        <v>0</v>
      </c>
      <c r="V68" s="20"/>
      <c r="W68">
        <f>IF(ISNA(VLOOKUP(I68,Матер!$A$2:$C$85,3,0)),0,VLOOKUP(I68,Матер!$A$2:$C$85,3,0))</f>
        <v>68745</v>
      </c>
      <c r="X68"/>
      <c r="Y68" s="20"/>
    </row>
    <row r="69" spans="1:28" s="17" customFormat="1" ht="25.5" hidden="1" outlineLevel="1">
      <c r="A69" s="12">
        <v>12</v>
      </c>
      <c r="B69" s="35" t="s">
        <v>21</v>
      </c>
      <c r="C69" s="12" t="s">
        <v>15</v>
      </c>
      <c r="D69" s="16">
        <v>0</v>
      </c>
      <c r="E69" s="23"/>
      <c r="F69" s="23"/>
      <c r="G69" s="8"/>
      <c r="H69" s="8"/>
      <c r="I69" s="169" t="s">
        <v>56</v>
      </c>
      <c r="J69" s="8" t="str">
        <f>IF(ISNA(VLOOKUP(I69,Матер!$A$2:$C$85,2,0)),0,VLOOKUP(I69,Матер!$A$2:$C$85,2,0))</f>
        <v>км</v>
      </c>
      <c r="K69" s="10">
        <f>+D69*0.015</f>
        <v>0</v>
      </c>
      <c r="L69" s="8"/>
      <c r="M69" s="20"/>
      <c r="N69" s="20"/>
      <c r="O69" s="20"/>
      <c r="P69" s="20"/>
      <c r="Q69" s="20">
        <f t="shared" si="7"/>
        <v>0</v>
      </c>
      <c r="R69" s="20">
        <f t="shared" si="2"/>
        <v>0</v>
      </c>
      <c r="S69" s="20">
        <f t="shared" si="3"/>
        <v>0</v>
      </c>
      <c r="T69" s="20">
        <f t="shared" si="4"/>
        <v>0</v>
      </c>
      <c r="U69" s="20">
        <f t="shared" si="5"/>
        <v>0</v>
      </c>
      <c r="V69" s="20"/>
      <c r="W69">
        <f>IF(ISNA(VLOOKUP(I69,Матер!$A$2:$C$85,3,0)),0,VLOOKUP(I69,Матер!$A$2:$C$85,3,0))</f>
        <v>34681.949999999997</v>
      </c>
      <c r="X69"/>
      <c r="Y69" s="71" t="s">
        <v>81</v>
      </c>
      <c r="Z69" s="72">
        <v>203.32333066666669</v>
      </c>
      <c r="AA69" s="11">
        <f>+Z69*D69/1000</f>
        <v>0</v>
      </c>
    </row>
    <row r="70" spans="1:28" s="17" customFormat="1" hidden="1" outlineLevel="1">
      <c r="A70" s="12"/>
      <c r="B70" s="35"/>
      <c r="C70" s="12"/>
      <c r="D70" s="16"/>
      <c r="E70" s="23"/>
      <c r="F70" s="23"/>
      <c r="G70" s="8"/>
      <c r="H70" s="8"/>
      <c r="I70" s="169" t="s">
        <v>91</v>
      </c>
      <c r="J70" s="8" t="str">
        <f>IF(ISNA(VLOOKUP(I70,Матер!$A$2:$C$85,2,0)),0,VLOOKUP(I70,Матер!$A$2:$C$85,2,0))</f>
        <v>шт</v>
      </c>
      <c r="K70" s="10">
        <f>+D69*2</f>
        <v>0</v>
      </c>
      <c r="L70" s="8"/>
      <c r="M70" s="20"/>
      <c r="N70" s="20"/>
      <c r="O70" s="20"/>
      <c r="P70" s="20"/>
      <c r="Q70" s="20">
        <f t="shared" si="7"/>
        <v>0</v>
      </c>
      <c r="R70" s="20">
        <f t="shared" si="2"/>
        <v>0</v>
      </c>
      <c r="S70" s="20">
        <f t="shared" si="3"/>
        <v>0</v>
      </c>
      <c r="T70" s="20">
        <f t="shared" si="4"/>
        <v>0</v>
      </c>
      <c r="U70" s="20">
        <f t="shared" si="5"/>
        <v>0</v>
      </c>
      <c r="V70" s="20"/>
      <c r="W70">
        <f>IF(ISNA(VLOOKUP(I70,Матер!$A$2:$C$85,3,0)),0,VLOOKUP(I70,Матер!$A$2:$C$85,3,0))</f>
        <v>98</v>
      </c>
      <c r="X70"/>
      <c r="Y70" s="71"/>
      <c r="Z70" s="72"/>
      <c r="AA70" s="11"/>
    </row>
    <row r="71" spans="1:28" s="17" customFormat="1" hidden="1" outlineLevel="1">
      <c r="A71" s="12"/>
      <c r="B71" s="35"/>
      <c r="C71" s="12"/>
      <c r="D71" s="16"/>
      <c r="E71" s="23"/>
      <c r="F71" s="23"/>
      <c r="G71" s="8"/>
      <c r="H71" s="8"/>
      <c r="I71" s="169" t="s">
        <v>87</v>
      </c>
      <c r="J71" s="8" t="str">
        <f>IF(ISNA(VLOOKUP(I71,Матер!$A$2:$C$85,2,0)),0,VLOOKUP(I71,Матер!$A$2:$C$85,2,0))</f>
        <v>шт</v>
      </c>
      <c r="K71" s="10">
        <f>+D69</f>
        <v>0</v>
      </c>
      <c r="L71" s="8"/>
      <c r="M71" s="20"/>
      <c r="N71" s="20"/>
      <c r="O71" s="20"/>
      <c r="P71" s="20"/>
      <c r="Q71" s="20">
        <f t="shared" si="7"/>
        <v>0</v>
      </c>
      <c r="R71" s="20">
        <f t="shared" si="2"/>
        <v>0</v>
      </c>
      <c r="S71" s="20">
        <f t="shared" si="3"/>
        <v>0</v>
      </c>
      <c r="T71" s="20">
        <f t="shared" si="4"/>
        <v>0</v>
      </c>
      <c r="U71" s="20">
        <f t="shared" si="5"/>
        <v>0</v>
      </c>
      <c r="V71" s="20"/>
      <c r="W71">
        <f>IF(ISNA(VLOOKUP(I71,Матер!$A$2:$C$85,3,0)),0,VLOOKUP(I71,Матер!$A$2:$C$85,3,0))</f>
        <v>20</v>
      </c>
      <c r="X71"/>
      <c r="Y71" s="71"/>
      <c r="Z71" s="72"/>
      <c r="AA71" s="11"/>
    </row>
    <row r="72" spans="1:28" s="17" customFormat="1" hidden="1" outlineLevel="1">
      <c r="A72" s="12"/>
      <c r="B72" s="35"/>
      <c r="C72" s="12"/>
      <c r="D72" s="16"/>
      <c r="E72" s="23"/>
      <c r="F72" s="23"/>
      <c r="G72" s="8"/>
      <c r="H72" s="8"/>
      <c r="I72" s="169" t="s">
        <v>74</v>
      </c>
      <c r="J72" s="8" t="str">
        <f>IF(ISNA(VLOOKUP(I72,Матер!$A$2:$C$85,2,0)),0,VLOOKUP(I72,Матер!$A$2:$C$85,2,0))</f>
        <v>упак/50м</v>
      </c>
      <c r="K72" s="8">
        <f>+D69*0.02</f>
        <v>0</v>
      </c>
      <c r="L72" s="8"/>
      <c r="M72" s="20"/>
      <c r="N72" s="20"/>
      <c r="O72" s="20"/>
      <c r="P72" s="20"/>
      <c r="Q72" s="20">
        <f t="shared" si="7"/>
        <v>0</v>
      </c>
      <c r="R72" s="20">
        <f t="shared" si="2"/>
        <v>0</v>
      </c>
      <c r="S72" s="20">
        <f t="shared" si="3"/>
        <v>0</v>
      </c>
      <c r="T72" s="20">
        <f t="shared" si="4"/>
        <v>0</v>
      </c>
      <c r="U72" s="20">
        <f t="shared" si="5"/>
        <v>0</v>
      </c>
      <c r="V72" s="20"/>
      <c r="W72">
        <f>IF(ISNA(VLOOKUP(I72,Матер!$A$2:$C$85,3,0)),0,VLOOKUP(I72,Матер!$A$2:$C$85,3,0))</f>
        <v>1500</v>
      </c>
      <c r="X72"/>
      <c r="Y72" s="20"/>
      <c r="AA72" s="11">
        <f>+Z72*D72</f>
        <v>0</v>
      </c>
    </row>
    <row r="73" spans="1:28" s="17" customFormat="1" hidden="1" outlineLevel="1">
      <c r="A73" s="12"/>
      <c r="B73" s="35"/>
      <c r="C73" s="12"/>
      <c r="D73" s="16"/>
      <c r="E73" s="23"/>
      <c r="F73" s="23"/>
      <c r="G73" s="8"/>
      <c r="H73" s="8"/>
      <c r="I73" s="169" t="s">
        <v>72</v>
      </c>
      <c r="J73" s="8" t="str">
        <f>IF(ISNA(VLOOKUP(I73,Матер!$A$2:$C$85,2,0)),0,VLOOKUP(I73,Матер!$A$2:$C$85,2,0))</f>
        <v>упак/100шт</v>
      </c>
      <c r="K73" s="12">
        <f>+D69*0.01</f>
        <v>0</v>
      </c>
      <c r="L73" s="8"/>
      <c r="M73" s="20"/>
      <c r="N73" s="20"/>
      <c r="O73" s="20"/>
      <c r="P73" s="20"/>
      <c r="Q73" s="20">
        <f t="shared" si="7"/>
        <v>0</v>
      </c>
      <c r="R73" s="20">
        <f t="shared" si="2"/>
        <v>0</v>
      </c>
      <c r="S73" s="20">
        <f t="shared" si="3"/>
        <v>0</v>
      </c>
      <c r="T73" s="20">
        <f t="shared" si="4"/>
        <v>0</v>
      </c>
      <c r="U73" s="20">
        <f t="shared" si="5"/>
        <v>0</v>
      </c>
      <c r="V73" s="20"/>
      <c r="W73">
        <f>IF(ISNA(VLOOKUP(I73,Матер!$A$2:$C$85,3,0)),0,VLOOKUP(I73,Матер!$A$2:$C$85,3,0))</f>
        <v>600</v>
      </c>
      <c r="X73"/>
      <c r="Y73" s="20"/>
      <c r="AA73" s="11">
        <f>+Z73*D73</f>
        <v>0</v>
      </c>
    </row>
    <row r="74" spans="1:28" s="17" customFormat="1" hidden="1" outlineLevel="1">
      <c r="A74" s="12"/>
      <c r="B74" s="35"/>
      <c r="C74" s="12"/>
      <c r="D74" s="16"/>
      <c r="E74" s="23"/>
      <c r="F74" s="23"/>
      <c r="G74" s="8"/>
      <c r="H74" s="8"/>
      <c r="I74" s="169" t="s">
        <v>38</v>
      </c>
      <c r="J74" s="8" t="str">
        <f>IF(ISNA(VLOOKUP(I74,Матер!$A$2:$C$85,2,0)),0,VLOOKUP(I74,Матер!$A$2:$C$85,2,0))</f>
        <v>шт</v>
      </c>
      <c r="K74" s="10">
        <f>+D69*2</f>
        <v>0</v>
      </c>
      <c r="L74" s="8"/>
      <c r="M74" s="20"/>
      <c r="N74" s="20"/>
      <c r="O74" s="20"/>
      <c r="P74" s="20"/>
      <c r="Q74" s="20">
        <f t="shared" si="7"/>
        <v>0</v>
      </c>
      <c r="R74" s="20">
        <f t="shared" si="2"/>
        <v>0</v>
      </c>
      <c r="S74" s="20">
        <f t="shared" si="3"/>
        <v>0</v>
      </c>
      <c r="T74" s="20">
        <f t="shared" si="4"/>
        <v>0</v>
      </c>
      <c r="U74" s="20">
        <f t="shared" si="5"/>
        <v>0</v>
      </c>
      <c r="V74" s="20"/>
      <c r="W74">
        <f>IF(ISNA(VLOOKUP(I74,Матер!$A$2:$C$85,3,0)),0,VLOOKUP(I74,Матер!$A$2:$C$85,3,0))</f>
        <v>66.81</v>
      </c>
      <c r="X74"/>
      <c r="AA74" s="11">
        <f>+Z74*D74</f>
        <v>0</v>
      </c>
    </row>
    <row r="75" spans="1:28" s="17" customFormat="1" hidden="1" outlineLevel="1">
      <c r="A75" s="12"/>
      <c r="B75" s="35"/>
      <c r="C75" s="12"/>
      <c r="D75" s="16"/>
      <c r="E75" s="23"/>
      <c r="F75" s="23"/>
      <c r="G75" s="8"/>
      <c r="H75" s="8"/>
      <c r="I75" s="169" t="s">
        <v>70</v>
      </c>
      <c r="J75" s="8" t="str">
        <f>IF(ISNA(VLOOKUP(I75,Матер!$A$2:$C$85,2,0)),0,VLOOKUP(I75,Матер!$A$2:$C$85,2,0))</f>
        <v>шт</v>
      </c>
      <c r="K75" s="10">
        <f>+D69*4</f>
        <v>0</v>
      </c>
      <c r="L75" s="8"/>
      <c r="M75" s="20"/>
      <c r="N75" s="20"/>
      <c r="O75" s="20"/>
      <c r="P75" s="20"/>
      <c r="Q75" s="20">
        <f t="shared" si="7"/>
        <v>0</v>
      </c>
      <c r="R75" s="20">
        <f t="shared" si="2"/>
        <v>0</v>
      </c>
      <c r="S75" s="20">
        <f t="shared" si="3"/>
        <v>0</v>
      </c>
      <c r="T75" s="20">
        <f t="shared" si="4"/>
        <v>0</v>
      </c>
      <c r="U75" s="20">
        <f t="shared" si="5"/>
        <v>0</v>
      </c>
      <c r="V75" s="20"/>
      <c r="W75">
        <f>IF(ISNA(VLOOKUP(I75,Матер!$A$2:$C$85,3,0)),0,VLOOKUP(I75,Матер!$A$2:$C$85,3,0))</f>
        <v>3.5169999999999999</v>
      </c>
      <c r="X75"/>
      <c r="AA75" s="11"/>
    </row>
    <row r="76" spans="1:28" s="17" customFormat="1" ht="38.25" hidden="1" outlineLevel="1">
      <c r="A76" s="12">
        <v>13</v>
      </c>
      <c r="B76" s="35" t="s">
        <v>22</v>
      </c>
      <c r="C76" s="12" t="s">
        <v>15</v>
      </c>
      <c r="D76" s="8">
        <f>+D69</f>
        <v>0</v>
      </c>
      <c r="E76" s="23"/>
      <c r="F76" s="23"/>
      <c r="G76" s="8"/>
      <c r="H76" s="8"/>
      <c r="I76" s="169" t="s">
        <v>69</v>
      </c>
      <c r="J76" s="8" t="str">
        <f>IF(ISNA(VLOOKUP(I76,Матер!$A$2:$C$85,2,0)),0,VLOOKUP(I76,Матер!$A$2:$C$85,2,0))</f>
        <v>шт</v>
      </c>
      <c r="K76" s="10">
        <f>+D76</f>
        <v>0</v>
      </c>
      <c r="L76" s="165" t="s">
        <v>31</v>
      </c>
      <c r="M76" s="20"/>
      <c r="N76" s="20"/>
      <c r="O76" s="20"/>
      <c r="P76" s="20"/>
      <c r="Q76" s="20">
        <f t="shared" si="7"/>
        <v>0</v>
      </c>
      <c r="R76" s="20">
        <f t="shared" si="2"/>
        <v>0</v>
      </c>
      <c r="S76" s="20">
        <f t="shared" si="3"/>
        <v>0</v>
      </c>
      <c r="T76" s="20">
        <f t="shared" si="4"/>
        <v>0</v>
      </c>
      <c r="U76" s="20">
        <f t="shared" si="5"/>
        <v>0</v>
      </c>
      <c r="V76" s="20"/>
      <c r="W76">
        <f>IF(ISNA(VLOOKUP(I76,Матер!$A$2:$C$85,3,0)),0,VLOOKUP(I76,Матер!$A$2:$C$85,3,0))</f>
        <v>0</v>
      </c>
      <c r="X76"/>
      <c r="Y76" s="71" t="s">
        <v>83</v>
      </c>
      <c r="Z76" s="32">
        <v>101.25</v>
      </c>
      <c r="AA76" s="11">
        <f>+Z76*D76/1000</f>
        <v>0</v>
      </c>
      <c r="AB76" s="17">
        <f>SUM(AA69:AA77)</f>
        <v>0</v>
      </c>
    </row>
    <row r="77" spans="1:28" s="17" customFormat="1" hidden="1" outlineLevel="1">
      <c r="A77" s="12"/>
      <c r="B77" s="35"/>
      <c r="C77" s="12"/>
      <c r="D77" s="8"/>
      <c r="E77" s="23"/>
      <c r="F77" s="23"/>
      <c r="G77" s="8"/>
      <c r="H77" s="8"/>
      <c r="I77" s="169" t="s">
        <v>91</v>
      </c>
      <c r="J77" s="8" t="str">
        <f>IF(ISNA(VLOOKUP(I77,Матер!$A$2:$C$85,2,0)),0,VLOOKUP(I77,Матер!$A$2:$C$85,2,0))</f>
        <v>шт</v>
      </c>
      <c r="K77" s="10">
        <f>+D76*2</f>
        <v>0</v>
      </c>
      <c r="L77" s="8"/>
      <c r="M77" s="20"/>
      <c r="N77" s="20"/>
      <c r="O77" s="20"/>
      <c r="P77" s="20"/>
      <c r="Q77" s="20">
        <f t="shared" si="7"/>
        <v>0</v>
      </c>
      <c r="R77" s="20">
        <f t="shared" si="2"/>
        <v>0</v>
      </c>
      <c r="S77" s="20">
        <f t="shared" si="3"/>
        <v>0</v>
      </c>
      <c r="T77" s="20">
        <f t="shared" si="4"/>
        <v>0</v>
      </c>
      <c r="U77" s="20">
        <f t="shared" si="5"/>
        <v>0</v>
      </c>
      <c r="V77" s="20"/>
      <c r="W77">
        <f>IF(ISNA(VLOOKUP(I77,Матер!$A$2:$C$85,3,0)),0,VLOOKUP(I77,Матер!$A$2:$C$85,3,0))</f>
        <v>98</v>
      </c>
      <c r="X77"/>
      <c r="AA77" s="11">
        <f>+Z77*D77</f>
        <v>0</v>
      </c>
    </row>
    <row r="78" spans="1:28" s="17" customFormat="1" hidden="1" outlineLevel="1">
      <c r="A78" s="12"/>
      <c r="B78" s="35"/>
      <c r="C78" s="12"/>
      <c r="D78" s="8"/>
      <c r="E78" s="23"/>
      <c r="F78" s="23"/>
      <c r="G78" s="8"/>
      <c r="H78" s="8"/>
      <c r="I78" s="169" t="s">
        <v>70</v>
      </c>
      <c r="J78" s="8" t="str">
        <f>IF(ISNA(VLOOKUP(I78,Матер!$A$2:$C$85,2,0)),0,VLOOKUP(I78,Матер!$A$2:$C$85,2,0))</f>
        <v>шт</v>
      </c>
      <c r="K78" s="10">
        <f>+D76*2</f>
        <v>0</v>
      </c>
      <c r="L78" s="8"/>
      <c r="M78" s="20"/>
      <c r="N78" s="20"/>
      <c r="O78" s="20"/>
      <c r="P78" s="20"/>
      <c r="Q78" s="20">
        <f t="shared" si="7"/>
        <v>0</v>
      </c>
      <c r="R78" s="20">
        <f t="shared" si="2"/>
        <v>0</v>
      </c>
      <c r="S78" s="20">
        <f t="shared" si="3"/>
        <v>0</v>
      </c>
      <c r="T78" s="20">
        <f t="shared" si="4"/>
        <v>0</v>
      </c>
      <c r="U78" s="20">
        <f t="shared" si="5"/>
        <v>0</v>
      </c>
      <c r="V78" s="20"/>
      <c r="W78">
        <f>IF(ISNA(VLOOKUP(I78,Матер!$A$2:$C$85,3,0)),0,VLOOKUP(I78,Матер!$A$2:$C$85,3,0))</f>
        <v>3.5169999999999999</v>
      </c>
      <c r="X78" t="e">
        <f>SUM(#REF!)</f>
        <v>#REF!</v>
      </c>
      <c r="Y78" s="20"/>
      <c r="AA78" s="11">
        <f>+Z78*D78</f>
        <v>0</v>
      </c>
    </row>
    <row r="79" spans="1:28" s="17" customFormat="1" ht="25.5" collapsed="1">
      <c r="A79" s="12">
        <v>11</v>
      </c>
      <c r="B79" s="35" t="s">
        <v>202</v>
      </c>
      <c r="C79" s="12" t="s">
        <v>15</v>
      </c>
      <c r="D79" s="16">
        <f>D23</f>
        <v>7</v>
      </c>
      <c r="E79" s="23"/>
      <c r="F79" s="23"/>
      <c r="G79" s="8"/>
      <c r="H79" s="8"/>
      <c r="I79" s="169" t="s">
        <v>56</v>
      </c>
      <c r="J79" s="8" t="s">
        <v>170</v>
      </c>
      <c r="K79" s="10">
        <f>D79*15</f>
        <v>105</v>
      </c>
      <c r="L79" s="8" t="s">
        <v>142</v>
      </c>
      <c r="M79" s="20"/>
      <c r="N79" s="20">
        <v>1</v>
      </c>
      <c r="O79" s="132">
        <v>0.13700000000000001</v>
      </c>
      <c r="P79" s="20"/>
      <c r="Q79" s="77">
        <f>O79*K79</f>
        <v>14.385000000000002</v>
      </c>
      <c r="R79" s="77">
        <f t="shared" si="2"/>
        <v>14.385000000000002</v>
      </c>
      <c r="S79" s="20">
        <f t="shared" si="3"/>
        <v>0</v>
      </c>
      <c r="T79" s="20">
        <f t="shared" si="4"/>
        <v>0</v>
      </c>
      <c r="U79" s="20">
        <f t="shared" si="5"/>
        <v>0</v>
      </c>
      <c r="V79" s="150" t="s">
        <v>186</v>
      </c>
      <c r="W79">
        <f>IF(ISNA(VLOOKUP(I79,Матер!$A$2:$C$85,3,0)),0,VLOOKUP(I79,Матер!$A$2:$C$85,3,0))</f>
        <v>34681.949999999997</v>
      </c>
      <c r="X79"/>
      <c r="Y79" s="71" t="s">
        <v>80</v>
      </c>
      <c r="Z79" s="17">
        <v>261.55</v>
      </c>
      <c r="AA79" s="11">
        <f>+Z79*D79/1000</f>
        <v>1.8308500000000001</v>
      </c>
    </row>
    <row r="80" spans="1:28" s="17" customFormat="1">
      <c r="A80" s="12"/>
      <c r="B80" s="35"/>
      <c r="C80" s="12"/>
      <c r="D80" s="16"/>
      <c r="E80" s="23"/>
      <c r="F80" s="23"/>
      <c r="G80" s="8"/>
      <c r="H80" s="8"/>
      <c r="I80" s="169" t="s">
        <v>91</v>
      </c>
      <c r="J80" s="8" t="str">
        <f>IF(ISNA(VLOOKUP(I80,Матер!$A$2:$C$85,2,0)),0,VLOOKUP(I80,Матер!$A$2:$C$85,2,0))</f>
        <v>шт</v>
      </c>
      <c r="K80" s="10">
        <f>+D79*4</f>
        <v>28</v>
      </c>
      <c r="L80" s="8" t="s">
        <v>142</v>
      </c>
      <c r="M80" s="20"/>
      <c r="N80" s="20">
        <v>1</v>
      </c>
      <c r="O80" s="20">
        <v>0.125</v>
      </c>
      <c r="P80" s="20"/>
      <c r="Q80" s="20">
        <f t="shared" ref="Q80:Q103" si="8">O80*K80</f>
        <v>3.5</v>
      </c>
      <c r="R80" s="20">
        <f t="shared" si="2"/>
        <v>3.5</v>
      </c>
      <c r="S80" s="20">
        <f t="shared" si="3"/>
        <v>0</v>
      </c>
      <c r="T80" s="20">
        <f t="shared" si="4"/>
        <v>0</v>
      </c>
      <c r="U80" s="20">
        <f t="shared" si="5"/>
        <v>0</v>
      </c>
      <c r="V80" s="20"/>
      <c r="W80">
        <f>IF(ISNA(VLOOKUP(I80,Матер!$A$2:$C$85,3,0)),0,VLOOKUP(I80,Матер!$A$2:$C$85,3,0))</f>
        <v>98</v>
      </c>
      <c r="X80"/>
      <c r="Y80" s="71"/>
      <c r="AA80" s="11"/>
    </row>
    <row r="81" spans="1:28" s="17" customFormat="1">
      <c r="A81" s="12"/>
      <c r="B81" s="35"/>
      <c r="C81" s="12"/>
      <c r="D81" s="16"/>
      <c r="E81" s="23"/>
      <c r="F81" s="23"/>
      <c r="G81" s="8"/>
      <c r="H81" s="8"/>
      <c r="I81" s="169" t="s">
        <v>87</v>
      </c>
      <c r="J81" s="8" t="str">
        <f>IF(ISNA(VLOOKUP(I81,Матер!$A$2:$C$85,2,0)),0,VLOOKUP(I81,Матер!$A$2:$C$85,2,0))</f>
        <v>шт</v>
      </c>
      <c r="K81" s="10">
        <f>+D79</f>
        <v>7</v>
      </c>
      <c r="L81" s="8" t="s">
        <v>142</v>
      </c>
      <c r="M81" s="20"/>
      <c r="N81" s="20">
        <v>1</v>
      </c>
      <c r="O81" s="20">
        <v>0.1</v>
      </c>
      <c r="P81" s="20"/>
      <c r="Q81" s="20">
        <f t="shared" si="8"/>
        <v>0.70000000000000007</v>
      </c>
      <c r="R81" s="20">
        <f t="shared" si="2"/>
        <v>0.70000000000000007</v>
      </c>
      <c r="S81" s="20">
        <f t="shared" si="3"/>
        <v>0</v>
      </c>
      <c r="T81" s="20">
        <f t="shared" si="4"/>
        <v>0</v>
      </c>
      <c r="U81" s="20">
        <f t="shared" si="5"/>
        <v>0</v>
      </c>
      <c r="V81" s="20"/>
      <c r="W81">
        <f>IF(ISNA(VLOOKUP(I81,Матер!$A$2:$C$85,3,0)),0,VLOOKUP(I81,Матер!$A$2:$C$85,3,0))</f>
        <v>20</v>
      </c>
      <c r="X81"/>
      <c r="Y81" s="71"/>
      <c r="AA81" s="11"/>
    </row>
    <row r="82" spans="1:28" s="17" customFormat="1">
      <c r="A82" s="12"/>
      <c r="B82" s="35"/>
      <c r="C82" s="12"/>
      <c r="D82" s="16"/>
      <c r="E82" s="23"/>
      <c r="F82" s="23"/>
      <c r="G82" s="8"/>
      <c r="H82" s="8"/>
      <c r="I82" s="169" t="s">
        <v>74</v>
      </c>
      <c r="J82" s="8" t="str">
        <f>IF(ISNA(VLOOKUP(I82,Матер!$A$2:$C$85,2,0)),0,VLOOKUP(I82,Матер!$A$2:$C$85,2,0))</f>
        <v>упак/50м</v>
      </c>
      <c r="K82" s="8">
        <f>(D79*2/50*100)/100</f>
        <v>0.28000000000000003</v>
      </c>
      <c r="L82" s="8" t="s">
        <v>142</v>
      </c>
      <c r="M82" s="20">
        <f>26/50*100</f>
        <v>52</v>
      </c>
      <c r="N82" s="20">
        <v>1</v>
      </c>
      <c r="O82" s="20">
        <v>3.9</v>
      </c>
      <c r="P82" s="20"/>
      <c r="Q82" s="20">
        <f t="shared" si="8"/>
        <v>1.0920000000000001</v>
      </c>
      <c r="R82" s="20">
        <f t="shared" si="2"/>
        <v>1.0920000000000001</v>
      </c>
      <c r="S82" s="20">
        <f t="shared" si="3"/>
        <v>0</v>
      </c>
      <c r="T82" s="20">
        <f t="shared" si="4"/>
        <v>0</v>
      </c>
      <c r="U82" s="20">
        <f t="shared" si="5"/>
        <v>0</v>
      </c>
      <c r="V82" s="20"/>
      <c r="W82">
        <f>IF(ISNA(VLOOKUP(I82,Матер!$A$2:$C$85,3,0)),0,VLOOKUP(I82,Матер!$A$2:$C$85,3,0))</f>
        <v>1500</v>
      </c>
      <c r="X82"/>
      <c r="Y82" s="20"/>
      <c r="AA82" s="11">
        <f>+Z82*D82</f>
        <v>0</v>
      </c>
    </row>
    <row r="83" spans="1:28" s="17" customFormat="1">
      <c r="A83" s="12"/>
      <c r="B83" s="35"/>
      <c r="C83" s="12"/>
      <c r="D83" s="16"/>
      <c r="E83" s="23"/>
      <c r="F83" s="23"/>
      <c r="G83" s="8"/>
      <c r="H83" s="8"/>
      <c r="I83" s="169" t="s">
        <v>72</v>
      </c>
      <c r="J83" s="8" t="str">
        <f>IF(ISNA(VLOOKUP(I83,Матер!$A$2:$C$85,2,0)),0,VLOOKUP(I83,Матер!$A$2:$C$85,2,0))</f>
        <v>упак/100шт</v>
      </c>
      <c r="K83" s="8">
        <f>+D79*0.02</f>
        <v>0.14000000000000001</v>
      </c>
      <c r="L83" s="8" t="s">
        <v>142</v>
      </c>
      <c r="M83" s="20"/>
      <c r="N83" s="20">
        <v>1</v>
      </c>
      <c r="O83" s="20">
        <v>1</v>
      </c>
      <c r="P83" s="20"/>
      <c r="Q83" s="20">
        <f t="shared" si="8"/>
        <v>0.14000000000000001</v>
      </c>
      <c r="R83" s="20">
        <f t="shared" si="2"/>
        <v>0.14000000000000001</v>
      </c>
      <c r="S83" s="20">
        <f t="shared" si="3"/>
        <v>0</v>
      </c>
      <c r="T83" s="20">
        <f t="shared" si="4"/>
        <v>0</v>
      </c>
      <c r="U83" s="20">
        <f t="shared" si="5"/>
        <v>0</v>
      </c>
      <c r="V83" s="20"/>
      <c r="W83">
        <f>IF(ISNA(VLOOKUP(I83,Матер!$A$2:$C$85,3,0)),0,VLOOKUP(I83,Матер!$A$2:$C$85,3,0))</f>
        <v>600</v>
      </c>
      <c r="X83"/>
      <c r="Y83" s="20"/>
      <c r="AA83" s="11">
        <f>+Z83*D83</f>
        <v>0</v>
      </c>
    </row>
    <row r="84" spans="1:28" s="17" customFormat="1">
      <c r="A84" s="12"/>
      <c r="B84" s="35"/>
      <c r="C84" s="12"/>
      <c r="D84" s="16"/>
      <c r="E84" s="23"/>
      <c r="F84" s="23"/>
      <c r="G84" s="8"/>
      <c r="H84" s="8"/>
      <c r="I84" s="169" t="s">
        <v>38</v>
      </c>
      <c r="J84" s="8" t="str">
        <f>IF(ISNA(VLOOKUP(I84,Матер!$A$2:$C$85,2,0)),0,VLOOKUP(I84,Матер!$A$2:$C$85,2,0))</f>
        <v>шт</v>
      </c>
      <c r="K84" s="10">
        <f>+D79*2</f>
        <v>14</v>
      </c>
      <c r="L84" s="8" t="s">
        <v>142</v>
      </c>
      <c r="M84" s="20"/>
      <c r="N84" s="20">
        <v>1</v>
      </c>
      <c r="O84" s="20">
        <v>0.46</v>
      </c>
      <c r="P84" s="20"/>
      <c r="Q84" s="20">
        <f t="shared" si="8"/>
        <v>6.44</v>
      </c>
      <c r="R84" s="20">
        <f t="shared" si="2"/>
        <v>6.44</v>
      </c>
      <c r="S84" s="20">
        <f t="shared" si="3"/>
        <v>0</v>
      </c>
      <c r="T84" s="20">
        <f t="shared" si="4"/>
        <v>0</v>
      </c>
      <c r="U84" s="20">
        <f t="shared" si="5"/>
        <v>0</v>
      </c>
      <c r="V84" s="20"/>
      <c r="W84">
        <f>IF(ISNA(VLOOKUP(I84,Матер!$A$2:$C$85,3,0)),0,VLOOKUP(I84,Матер!$A$2:$C$85,3,0))</f>
        <v>66.81</v>
      </c>
      <c r="X84"/>
      <c r="Y84" s="20"/>
      <c r="AA84" s="11">
        <f>+Z84*D84</f>
        <v>0</v>
      </c>
    </row>
    <row r="85" spans="1:28" s="17" customFormat="1">
      <c r="A85" s="12"/>
      <c r="B85" s="35"/>
      <c r="C85" s="12"/>
      <c r="D85" s="16"/>
      <c r="E85" s="23"/>
      <c r="F85" s="23"/>
      <c r="G85" s="8"/>
      <c r="H85" s="8"/>
      <c r="I85" s="169" t="s">
        <v>70</v>
      </c>
      <c r="J85" s="8" t="str">
        <f>IF(ISNA(VLOOKUP(I85,Матер!$A$2:$C$85,2,0)),0,VLOOKUP(I85,Матер!$A$2:$C$85,2,0))</f>
        <v>шт</v>
      </c>
      <c r="K85" s="10">
        <f>+D79*6</f>
        <v>42</v>
      </c>
      <c r="L85" s="8" t="s">
        <v>142</v>
      </c>
      <c r="M85" s="20"/>
      <c r="N85" s="20">
        <v>1</v>
      </c>
      <c r="O85" s="20">
        <v>1.4999999999999999E-2</v>
      </c>
      <c r="P85" s="20"/>
      <c r="Q85" s="20">
        <f t="shared" si="8"/>
        <v>0.63</v>
      </c>
      <c r="R85" s="20">
        <f t="shared" si="2"/>
        <v>0.63</v>
      </c>
      <c r="S85" s="20">
        <f t="shared" si="3"/>
        <v>0</v>
      </c>
      <c r="T85" s="20">
        <f t="shared" si="4"/>
        <v>0</v>
      </c>
      <c r="U85" s="20">
        <f t="shared" si="5"/>
        <v>0</v>
      </c>
      <c r="V85" s="20"/>
      <c r="W85">
        <f>IF(ISNA(VLOOKUP(I85,Матер!$A$2:$C$85,3,0)),0,VLOOKUP(I85,Матер!$A$2:$C$85,3,0))</f>
        <v>3.5169999999999999</v>
      </c>
      <c r="X85"/>
      <c r="Y85" s="20"/>
      <c r="AA85" s="11"/>
    </row>
    <row r="86" spans="1:28" s="17" customFormat="1">
      <c r="A86" s="12">
        <v>12</v>
      </c>
      <c r="B86" s="35" t="s">
        <v>22</v>
      </c>
      <c r="C86" s="12" t="s">
        <v>15</v>
      </c>
      <c r="D86" s="8">
        <f>D24</f>
        <v>7</v>
      </c>
      <c r="E86" s="23"/>
      <c r="F86" s="23"/>
      <c r="G86" s="8"/>
      <c r="H86" s="8"/>
      <c r="I86" s="169" t="s">
        <v>69</v>
      </c>
      <c r="J86" s="8" t="str">
        <f>IF(ISNA(VLOOKUP(I86,Матер!$A$2:$C$85,2,0)),0,VLOOKUP(I86,Матер!$A$2:$C$85,2,0))</f>
        <v>шт</v>
      </c>
      <c r="K86" s="10">
        <f>+D86</f>
        <v>7</v>
      </c>
      <c r="L86" s="167" t="s">
        <v>208</v>
      </c>
      <c r="M86" s="20"/>
      <c r="N86" s="20"/>
      <c r="O86" s="20"/>
      <c r="P86" s="20"/>
      <c r="Q86" s="20">
        <f t="shared" si="8"/>
        <v>0</v>
      </c>
      <c r="R86" s="20">
        <f t="shared" si="2"/>
        <v>0</v>
      </c>
      <c r="S86" s="20">
        <f t="shared" si="3"/>
        <v>0</v>
      </c>
      <c r="T86" s="20">
        <f t="shared" si="4"/>
        <v>0</v>
      </c>
      <c r="U86" s="20">
        <f t="shared" si="5"/>
        <v>0</v>
      </c>
      <c r="V86" s="20"/>
      <c r="W86"/>
      <c r="X86"/>
      <c r="Y86" s="20"/>
      <c r="AA86" s="11"/>
    </row>
    <row r="87" spans="1:28" s="17" customFormat="1">
      <c r="A87" s="12"/>
      <c r="B87" s="35"/>
      <c r="C87" s="12"/>
      <c r="D87" s="8"/>
      <c r="E87" s="23"/>
      <c r="F87" s="23"/>
      <c r="G87" s="8"/>
      <c r="H87" s="8"/>
      <c r="I87" s="169" t="s">
        <v>91</v>
      </c>
      <c r="J87" s="8" t="str">
        <f>IF(ISNA(VLOOKUP(I87,Матер!$A$2:$C$85,2,0)),0,VLOOKUP(I87,Матер!$A$2:$C$85,2,0))</f>
        <v>шт</v>
      </c>
      <c r="K87" s="10">
        <f>+D86*2</f>
        <v>14</v>
      </c>
      <c r="L87" s="8" t="s">
        <v>142</v>
      </c>
      <c r="M87" s="20"/>
      <c r="N87" s="20">
        <v>1</v>
      </c>
      <c r="O87" s="20">
        <v>0.125</v>
      </c>
      <c r="P87" s="20"/>
      <c r="Q87" s="20">
        <f t="shared" si="8"/>
        <v>1.75</v>
      </c>
      <c r="R87" s="20">
        <f t="shared" si="2"/>
        <v>1.75</v>
      </c>
      <c r="S87" s="20">
        <f t="shared" si="3"/>
        <v>0</v>
      </c>
      <c r="T87" s="20">
        <f t="shared" si="4"/>
        <v>0</v>
      </c>
      <c r="U87" s="20">
        <f t="shared" si="5"/>
        <v>0</v>
      </c>
      <c r="V87" s="20"/>
      <c r="W87"/>
      <c r="X87"/>
      <c r="Y87" s="20"/>
      <c r="AA87" s="11"/>
    </row>
    <row r="88" spans="1:28" s="17" customFormat="1">
      <c r="A88" s="12"/>
      <c r="B88" s="35"/>
      <c r="C88" s="12"/>
      <c r="D88" s="8"/>
      <c r="E88" s="23"/>
      <c r="F88" s="23"/>
      <c r="G88" s="8"/>
      <c r="H88" s="8"/>
      <c r="I88" s="169" t="s">
        <v>70</v>
      </c>
      <c r="J88" s="8" t="str">
        <f>IF(ISNA(VLOOKUP(I88,Матер!$A$2:$C$85,2,0)),0,VLOOKUP(I88,Матер!$A$2:$C$85,2,0))</f>
        <v>шт</v>
      </c>
      <c r="K88" s="10">
        <f>+D86*2</f>
        <v>14</v>
      </c>
      <c r="L88" s="8" t="s">
        <v>142</v>
      </c>
      <c r="M88" s="20"/>
      <c r="N88" s="20">
        <v>1</v>
      </c>
      <c r="O88" s="20">
        <v>1.4999999999999999E-2</v>
      </c>
      <c r="P88" s="20"/>
      <c r="Q88" s="20">
        <f t="shared" si="8"/>
        <v>0.21</v>
      </c>
      <c r="R88" s="20">
        <f t="shared" si="2"/>
        <v>0.21</v>
      </c>
      <c r="S88" s="20">
        <f t="shared" si="3"/>
        <v>0</v>
      </c>
      <c r="T88" s="20">
        <f t="shared" si="4"/>
        <v>0</v>
      </c>
      <c r="U88" s="20">
        <f t="shared" si="5"/>
        <v>0</v>
      </c>
      <c r="V88" s="20"/>
      <c r="W88"/>
      <c r="X88"/>
      <c r="Y88" s="20"/>
      <c r="AA88" s="11"/>
    </row>
    <row r="89" spans="1:28" s="17" customFormat="1" ht="25.5">
      <c r="A89" s="12">
        <v>13</v>
      </c>
      <c r="B89" s="35" t="s">
        <v>203</v>
      </c>
      <c r="C89" s="12" t="s">
        <v>15</v>
      </c>
      <c r="D89" s="16">
        <f>D25</f>
        <v>2</v>
      </c>
      <c r="E89" s="23"/>
      <c r="F89" s="23"/>
      <c r="G89" s="8"/>
      <c r="H89" s="8"/>
      <c r="I89" s="169" t="s">
        <v>57</v>
      </c>
      <c r="J89" s="8" t="s">
        <v>170</v>
      </c>
      <c r="K89" s="10">
        <f>D89*15</f>
        <v>30</v>
      </c>
      <c r="L89" s="8" t="s">
        <v>142</v>
      </c>
      <c r="M89" s="20"/>
      <c r="N89" s="20">
        <v>1</v>
      </c>
      <c r="O89" s="132">
        <v>0.26900000000000002</v>
      </c>
      <c r="P89" s="20"/>
      <c r="Q89" s="20">
        <f t="shared" si="8"/>
        <v>8.07</v>
      </c>
      <c r="R89" s="20">
        <f t="shared" si="2"/>
        <v>8.07</v>
      </c>
      <c r="S89" s="20">
        <f t="shared" si="3"/>
        <v>0</v>
      </c>
      <c r="T89" s="20">
        <f t="shared" si="4"/>
        <v>0</v>
      </c>
      <c r="U89" s="20">
        <f t="shared" si="5"/>
        <v>0</v>
      </c>
      <c r="V89" s="150" t="s">
        <v>186</v>
      </c>
      <c r="W89">
        <f>IF(ISNA(VLOOKUP(I89,Матер!$A$2:$C$85,3,0)),0,VLOOKUP(I89,Матер!$A$2:$C$85,3,0))</f>
        <v>68745</v>
      </c>
      <c r="X89"/>
      <c r="Y89" s="71" t="s">
        <v>80</v>
      </c>
      <c r="Z89" s="17">
        <v>261.55</v>
      </c>
      <c r="AA89" s="11">
        <f>+Z89*D89/1000</f>
        <v>0.52310000000000001</v>
      </c>
    </row>
    <row r="90" spans="1:28" s="17" customFormat="1">
      <c r="A90" s="12"/>
      <c r="B90" s="35"/>
      <c r="C90" s="12"/>
      <c r="D90" s="16"/>
      <c r="E90" s="23"/>
      <c r="F90" s="23"/>
      <c r="G90" s="8"/>
      <c r="H90" s="8"/>
      <c r="I90" s="169" t="s">
        <v>91</v>
      </c>
      <c r="J90" s="8" t="str">
        <f>IF(ISNA(VLOOKUP(I90,Матер!$A$2:$C$85,2,0)),0,VLOOKUP(I90,Матер!$A$2:$C$85,2,0))</f>
        <v>шт</v>
      </c>
      <c r="K90" s="10">
        <f>+D89*8</f>
        <v>16</v>
      </c>
      <c r="L90" s="8" t="s">
        <v>142</v>
      </c>
      <c r="M90" s="20"/>
      <c r="N90" s="20">
        <v>1</v>
      </c>
      <c r="O90" s="20">
        <v>0.125</v>
      </c>
      <c r="P90" s="20"/>
      <c r="Q90" s="20">
        <f t="shared" si="8"/>
        <v>2</v>
      </c>
      <c r="R90" s="20">
        <f t="shared" si="2"/>
        <v>2</v>
      </c>
      <c r="S90" s="20">
        <f t="shared" si="3"/>
        <v>0</v>
      </c>
      <c r="T90" s="20">
        <f t="shared" si="4"/>
        <v>0</v>
      </c>
      <c r="U90" s="20">
        <f t="shared" si="5"/>
        <v>0</v>
      </c>
      <c r="V90" s="20"/>
      <c r="W90">
        <f>IF(ISNA(VLOOKUP(I90,Матер!$A$2:$C$85,3,0)),0,VLOOKUP(I90,Матер!$A$2:$C$85,3,0))</f>
        <v>98</v>
      </c>
      <c r="X90"/>
      <c r="Y90" s="71"/>
      <c r="AA90" s="11"/>
    </row>
    <row r="91" spans="1:28" s="17" customFormat="1">
      <c r="A91" s="12"/>
      <c r="B91" s="35"/>
      <c r="C91" s="12"/>
      <c r="D91" s="16"/>
      <c r="E91" s="23"/>
      <c r="F91" s="23"/>
      <c r="G91" s="8"/>
      <c r="H91" s="8"/>
      <c r="I91" s="169" t="s">
        <v>87</v>
      </c>
      <c r="J91" s="8" t="str">
        <f>IF(ISNA(VLOOKUP(I91,Матер!$A$2:$C$85,2,0)),0,VLOOKUP(I91,Матер!$A$2:$C$85,2,0))</f>
        <v>шт</v>
      </c>
      <c r="K91" s="10">
        <f>+D89</f>
        <v>2</v>
      </c>
      <c r="L91" s="8" t="s">
        <v>142</v>
      </c>
      <c r="M91" s="20"/>
      <c r="N91" s="20">
        <v>1</v>
      </c>
      <c r="O91" s="20">
        <v>0.1</v>
      </c>
      <c r="P91" s="20"/>
      <c r="Q91" s="20">
        <f t="shared" si="8"/>
        <v>0.2</v>
      </c>
      <c r="R91" s="20">
        <f t="shared" ref="R91:R102" si="9">IF(N91=$R$12,Q91,0)</f>
        <v>0.2</v>
      </c>
      <c r="S91" s="20">
        <f t="shared" ref="S91:S103" si="10">IF(N91=$S$12,Q91,0)</f>
        <v>0</v>
      </c>
      <c r="T91" s="20">
        <f t="shared" ref="T91:T103" si="11">IF(N91=$T$12,Q91,0)</f>
        <v>0</v>
      </c>
      <c r="U91" s="20">
        <f t="shared" ref="U91:U103" si="12">IF(N91=$U$12,Q91,0)</f>
        <v>0</v>
      </c>
      <c r="V91" s="20"/>
      <c r="W91">
        <f>IF(ISNA(VLOOKUP(I91,Матер!$A$2:$C$85,3,0)),0,VLOOKUP(I91,Матер!$A$2:$C$85,3,0))</f>
        <v>20</v>
      </c>
      <c r="X91"/>
      <c r="Y91" s="71"/>
      <c r="AA91" s="11"/>
    </row>
    <row r="92" spans="1:28" s="17" customFormat="1">
      <c r="A92" s="12"/>
      <c r="B92" s="35"/>
      <c r="C92" s="12"/>
      <c r="D92" s="16"/>
      <c r="E92" s="23"/>
      <c r="F92" s="23"/>
      <c r="G92" s="8"/>
      <c r="H92" s="8"/>
      <c r="I92" s="169" t="s">
        <v>74</v>
      </c>
      <c r="J92" s="8" t="str">
        <f>IF(ISNA(VLOOKUP(I92,Матер!$A$2:$C$85,2,0)),0,VLOOKUP(I92,Матер!$A$2:$C$85,2,0))</f>
        <v>упак/50м</v>
      </c>
      <c r="K92" s="8">
        <f>(D89*2/50*100)/100</f>
        <v>0.08</v>
      </c>
      <c r="L92" s="8" t="s">
        <v>142</v>
      </c>
      <c r="M92" s="20"/>
      <c r="N92" s="20">
        <v>1</v>
      </c>
      <c r="O92" s="20">
        <v>3.9</v>
      </c>
      <c r="P92" s="20"/>
      <c r="Q92" s="20">
        <f t="shared" si="8"/>
        <v>0.312</v>
      </c>
      <c r="R92" s="20">
        <f t="shared" si="9"/>
        <v>0.312</v>
      </c>
      <c r="S92" s="20">
        <f t="shared" si="10"/>
        <v>0</v>
      </c>
      <c r="T92" s="20">
        <f t="shared" si="11"/>
        <v>0</v>
      </c>
      <c r="U92" s="20">
        <f t="shared" si="12"/>
        <v>0</v>
      </c>
      <c r="V92" s="20"/>
      <c r="W92">
        <f>IF(ISNA(VLOOKUP(I92,Матер!$A$2:$C$85,3,0)),0,VLOOKUP(I92,Матер!$A$2:$C$85,3,0))</f>
        <v>1500</v>
      </c>
      <c r="X92"/>
      <c r="Y92" s="20"/>
      <c r="AA92" s="11">
        <f>+Z92*D92</f>
        <v>0</v>
      </c>
    </row>
    <row r="93" spans="1:28" s="17" customFormat="1">
      <c r="A93" s="12"/>
      <c r="B93" s="35"/>
      <c r="C93" s="12"/>
      <c r="D93" s="16"/>
      <c r="E93" s="23"/>
      <c r="F93" s="23"/>
      <c r="G93" s="8"/>
      <c r="H93" s="8"/>
      <c r="I93" s="169" t="s">
        <v>72</v>
      </c>
      <c r="J93" s="8" t="str">
        <f>IF(ISNA(VLOOKUP(I93,Матер!$A$2:$C$85,2,0)),0,VLOOKUP(I93,Матер!$A$2:$C$85,2,0))</f>
        <v>упак/100шт</v>
      </c>
      <c r="K93" s="8">
        <f>+D89*0.02</f>
        <v>0.04</v>
      </c>
      <c r="L93" s="8" t="s">
        <v>142</v>
      </c>
      <c r="M93" s="20"/>
      <c r="N93" s="20">
        <v>1</v>
      </c>
      <c r="O93" s="20">
        <v>1</v>
      </c>
      <c r="P93" s="20"/>
      <c r="Q93" s="20">
        <f t="shared" si="8"/>
        <v>0.04</v>
      </c>
      <c r="R93" s="20">
        <f t="shared" si="9"/>
        <v>0.04</v>
      </c>
      <c r="S93" s="20">
        <f t="shared" si="10"/>
        <v>0</v>
      </c>
      <c r="T93" s="20">
        <f t="shared" si="11"/>
        <v>0</v>
      </c>
      <c r="U93" s="20">
        <f t="shared" si="12"/>
        <v>0</v>
      </c>
      <c r="V93" s="20"/>
      <c r="W93">
        <f>IF(ISNA(VLOOKUP(I93,Матер!$A$2:$C$85,3,0)),0,VLOOKUP(I93,Матер!$A$2:$C$85,3,0))</f>
        <v>600</v>
      </c>
      <c r="X93"/>
      <c r="Y93" s="20"/>
      <c r="AA93" s="11">
        <f>+Z93*D93</f>
        <v>0</v>
      </c>
    </row>
    <row r="94" spans="1:28" s="17" customFormat="1">
      <c r="A94" s="12"/>
      <c r="B94" s="35"/>
      <c r="C94" s="12"/>
      <c r="D94" s="16"/>
      <c r="E94" s="23"/>
      <c r="F94" s="23"/>
      <c r="G94" s="8"/>
      <c r="H94" s="8"/>
      <c r="I94" s="169" t="s">
        <v>38</v>
      </c>
      <c r="J94" s="8" t="str">
        <f>IF(ISNA(VLOOKUP(I94,Матер!$A$2:$C$85,2,0)),0,VLOOKUP(I94,Матер!$A$2:$C$85,2,0))</f>
        <v>шт</v>
      </c>
      <c r="K94" s="10">
        <f>+D89*2</f>
        <v>4</v>
      </c>
      <c r="L94" s="8" t="s">
        <v>142</v>
      </c>
      <c r="M94" s="20"/>
      <c r="N94" s="20">
        <v>1</v>
      </c>
      <c r="O94" s="20">
        <v>0.46</v>
      </c>
      <c r="P94" s="20"/>
      <c r="Q94" s="20">
        <f t="shared" si="8"/>
        <v>1.84</v>
      </c>
      <c r="R94" s="20">
        <f t="shared" si="9"/>
        <v>1.84</v>
      </c>
      <c r="S94" s="20">
        <f t="shared" si="10"/>
        <v>0</v>
      </c>
      <c r="T94" s="20">
        <f t="shared" si="11"/>
        <v>0</v>
      </c>
      <c r="U94" s="20">
        <f t="shared" si="12"/>
        <v>0</v>
      </c>
      <c r="V94" s="20"/>
      <c r="W94">
        <f>IF(ISNA(VLOOKUP(I94,Матер!$A$2:$C$85,3,0)),0,VLOOKUP(I94,Матер!$A$2:$C$85,3,0))</f>
        <v>66.81</v>
      </c>
      <c r="X94"/>
      <c r="Y94" s="20"/>
      <c r="AA94" s="11">
        <f>+Z94*D94</f>
        <v>0</v>
      </c>
    </row>
    <row r="95" spans="1:28" s="17" customFormat="1">
      <c r="A95" s="12"/>
      <c r="B95" s="35"/>
      <c r="C95" s="12"/>
      <c r="D95" s="16"/>
      <c r="E95" s="23"/>
      <c r="F95" s="23"/>
      <c r="G95" s="8"/>
      <c r="H95" s="8"/>
      <c r="I95" s="169" t="s">
        <v>70</v>
      </c>
      <c r="J95" s="8" t="str">
        <f>IF(ISNA(VLOOKUP(I95,Матер!$A$2:$C$85,2,0)),0,VLOOKUP(I95,Матер!$A$2:$C$85,2,0))</f>
        <v>шт</v>
      </c>
      <c r="K95" s="10">
        <f>+D89*6</f>
        <v>12</v>
      </c>
      <c r="L95" s="8" t="s">
        <v>142</v>
      </c>
      <c r="M95" s="20"/>
      <c r="N95" s="20">
        <v>1</v>
      </c>
      <c r="O95" s="20">
        <v>1.4999999999999999E-2</v>
      </c>
      <c r="P95" s="20"/>
      <c r="Q95" s="20">
        <f t="shared" si="8"/>
        <v>0.18</v>
      </c>
      <c r="R95" s="20">
        <f t="shared" si="9"/>
        <v>0.18</v>
      </c>
      <c r="S95" s="20">
        <f t="shared" si="10"/>
        <v>0</v>
      </c>
      <c r="T95" s="20">
        <f t="shared" si="11"/>
        <v>0</v>
      </c>
      <c r="U95" s="20">
        <f t="shared" si="12"/>
        <v>0</v>
      </c>
      <c r="V95" s="20"/>
      <c r="W95">
        <f>IF(ISNA(VLOOKUP(I95,Матер!$A$2:$C$85,3,0)),0,VLOOKUP(I95,Матер!$A$2:$C$85,3,0))</f>
        <v>3.5169999999999999</v>
      </c>
      <c r="X95"/>
      <c r="Y95" s="20"/>
      <c r="AA95" s="11"/>
    </row>
    <row r="96" spans="1:28" s="17" customFormat="1">
      <c r="A96" s="12">
        <v>14</v>
      </c>
      <c r="B96" s="35" t="s">
        <v>22</v>
      </c>
      <c r="C96" s="12" t="s">
        <v>15</v>
      </c>
      <c r="D96" s="8">
        <f>D26</f>
        <v>6</v>
      </c>
      <c r="E96" s="23"/>
      <c r="F96" s="23"/>
      <c r="G96" s="8"/>
      <c r="H96" s="8"/>
      <c r="I96" s="169" t="s">
        <v>69</v>
      </c>
      <c r="J96" s="8" t="str">
        <f>IF(ISNA(VLOOKUP(I96,Матер!$A$2:$C$85,2,0)),0,VLOOKUP(I96,Матер!$A$2:$C$85,2,0))</f>
        <v>шт</v>
      </c>
      <c r="K96" s="10">
        <f>+D96</f>
        <v>6</v>
      </c>
      <c r="L96" s="167" t="s">
        <v>208</v>
      </c>
      <c r="M96" s="20"/>
      <c r="N96" s="20"/>
      <c r="O96" s="20"/>
      <c r="P96" s="20"/>
      <c r="Q96" s="20">
        <f t="shared" si="8"/>
        <v>0</v>
      </c>
      <c r="R96" s="20">
        <f t="shared" si="9"/>
        <v>0</v>
      </c>
      <c r="S96" s="20">
        <f t="shared" si="10"/>
        <v>0</v>
      </c>
      <c r="T96" s="20">
        <f t="shared" si="11"/>
        <v>0</v>
      </c>
      <c r="U96" s="20">
        <f t="shared" si="12"/>
        <v>0</v>
      </c>
      <c r="V96" s="20"/>
      <c r="W96">
        <f>IF(ISNA(VLOOKUP(I96,Матер!$A$2:$C$85,3,0)),0,VLOOKUP(I96,Матер!$A$2:$C$85,3,0))</f>
        <v>0</v>
      </c>
      <c r="X96"/>
      <c r="Y96" s="71" t="s">
        <v>83</v>
      </c>
      <c r="Z96" s="32">
        <v>101.25</v>
      </c>
      <c r="AA96" s="11">
        <f>+Z96*D96/1000</f>
        <v>0.60750000000000004</v>
      </c>
      <c r="AB96" s="17">
        <f>SUM(AA89:AA96)</f>
        <v>1.1306</v>
      </c>
    </row>
    <row r="97" spans="1:27" s="17" customFormat="1">
      <c r="A97" s="12"/>
      <c r="B97" s="35"/>
      <c r="C97" s="12"/>
      <c r="D97" s="8"/>
      <c r="E97" s="23"/>
      <c r="F97" s="23"/>
      <c r="G97" s="8"/>
      <c r="H97" s="8"/>
      <c r="I97" s="169" t="s">
        <v>91</v>
      </c>
      <c r="J97" s="8" t="str">
        <f>IF(ISNA(VLOOKUP(I97,Матер!$A$2:$C$85,2,0)),0,VLOOKUP(I97,Матер!$A$2:$C$85,2,0))</f>
        <v>шт</v>
      </c>
      <c r="K97" s="10">
        <f>+D96*2</f>
        <v>12</v>
      </c>
      <c r="L97" s="8" t="s">
        <v>142</v>
      </c>
      <c r="M97" s="20"/>
      <c r="N97" s="20">
        <v>1</v>
      </c>
      <c r="O97" s="20">
        <v>0.125</v>
      </c>
      <c r="P97" s="20"/>
      <c r="Q97" s="20">
        <f t="shared" si="8"/>
        <v>1.5</v>
      </c>
      <c r="R97" s="20">
        <f t="shared" si="9"/>
        <v>1.5</v>
      </c>
      <c r="S97" s="20">
        <f t="shared" si="10"/>
        <v>0</v>
      </c>
      <c r="T97" s="20">
        <f t="shared" si="11"/>
        <v>0</v>
      </c>
      <c r="U97" s="20">
        <f t="shared" si="12"/>
        <v>0</v>
      </c>
      <c r="V97" s="20"/>
      <c r="W97">
        <f>IF(ISNA(VLOOKUP(I97,Матер!$A$2:$C$85,3,0)),0,VLOOKUP(I97,Матер!$A$2:$C$85,3,0))</f>
        <v>98</v>
      </c>
      <c r="X97"/>
      <c r="Y97" s="20"/>
      <c r="AA97" s="11">
        <f>+Z97*D97</f>
        <v>0</v>
      </c>
    </row>
    <row r="98" spans="1:27" s="17" customFormat="1">
      <c r="A98" s="12"/>
      <c r="B98" s="35"/>
      <c r="C98" s="12"/>
      <c r="D98" s="8"/>
      <c r="E98" s="23"/>
      <c r="F98" s="23"/>
      <c r="G98" s="8"/>
      <c r="H98" s="8"/>
      <c r="I98" s="169" t="s">
        <v>70</v>
      </c>
      <c r="J98" s="8" t="str">
        <f>IF(ISNA(VLOOKUP(I98,Матер!$A$2:$C$85,2,0)),0,VLOOKUP(I98,Матер!$A$2:$C$85,2,0))</f>
        <v>шт</v>
      </c>
      <c r="K98" s="10">
        <f>+D96*2</f>
        <v>12</v>
      </c>
      <c r="L98" s="8" t="s">
        <v>142</v>
      </c>
      <c r="M98" s="20"/>
      <c r="N98" s="20">
        <v>1</v>
      </c>
      <c r="O98" s="20">
        <v>1.4999999999999999E-2</v>
      </c>
      <c r="P98" s="20"/>
      <c r="Q98" s="20">
        <f t="shared" si="8"/>
        <v>0.18</v>
      </c>
      <c r="R98" s="20">
        <f t="shared" si="9"/>
        <v>0.18</v>
      </c>
      <c r="S98" s="20">
        <f t="shared" si="10"/>
        <v>0</v>
      </c>
      <c r="T98" s="20">
        <f t="shared" si="11"/>
        <v>0</v>
      </c>
      <c r="U98" s="20">
        <f t="shared" si="12"/>
        <v>0</v>
      </c>
      <c r="V98" s="20"/>
      <c r="W98">
        <f>IF(ISNA(VLOOKUP(I98,Матер!$A$2:$C$85,3,0)),0,VLOOKUP(I98,Матер!$A$2:$C$85,3,0))</f>
        <v>3.5169999999999999</v>
      </c>
      <c r="X98" t="e">
        <f>SUM(#REF!)</f>
        <v>#REF!</v>
      </c>
      <c r="Y98" s="20"/>
      <c r="AA98" s="11">
        <f>+Z98*D98</f>
        <v>0</v>
      </c>
    </row>
    <row r="99" spans="1:27" s="17" customFormat="1" ht="38.25">
      <c r="A99" s="12">
        <v>15</v>
      </c>
      <c r="B99" s="35" t="s">
        <v>23</v>
      </c>
      <c r="C99" s="12" t="s">
        <v>25</v>
      </c>
      <c r="D99" s="8">
        <f>D25</f>
        <v>2</v>
      </c>
      <c r="E99" s="23"/>
      <c r="F99" s="23"/>
      <c r="G99" s="8"/>
      <c r="H99" s="8"/>
      <c r="I99" s="169" t="s">
        <v>88</v>
      </c>
      <c r="J99" s="8" t="str">
        <f>IF(ISNA(VLOOKUP(I99,Матер!$A$2:$C$85,2,0)),0,VLOOKUP(I99,Матер!$A$2:$C$85,2,0))</f>
        <v>шт</v>
      </c>
      <c r="K99" s="10">
        <f>D99*3</f>
        <v>6</v>
      </c>
      <c r="L99" s="8" t="s">
        <v>142</v>
      </c>
      <c r="M99" s="20"/>
      <c r="N99" s="20">
        <v>1</v>
      </c>
      <c r="O99" s="20">
        <v>0.4</v>
      </c>
      <c r="P99" s="20"/>
      <c r="Q99" s="20">
        <f t="shared" si="8"/>
        <v>2.4000000000000004</v>
      </c>
      <c r="R99" s="20">
        <f t="shared" si="9"/>
        <v>2.4000000000000004</v>
      </c>
      <c r="S99" s="20">
        <f t="shared" si="10"/>
        <v>0</v>
      </c>
      <c r="T99" s="20">
        <f t="shared" si="11"/>
        <v>0</v>
      </c>
      <c r="U99" s="20">
        <f t="shared" si="12"/>
        <v>0</v>
      </c>
      <c r="V99" s="20"/>
      <c r="W99">
        <f>IF(ISNA(VLOOKUP(I99,Матер!$A$2:$C$85,3,0)),0,VLOOKUP(I99,Матер!$A$2:$C$85,3,0))</f>
        <v>791.3</v>
      </c>
      <c r="X99"/>
      <c r="Y99" s="71" t="s">
        <v>79</v>
      </c>
      <c r="Z99" s="17">
        <v>539.23</v>
      </c>
      <c r="AA99" s="11">
        <f>+Z99*D99/1000</f>
        <v>1.07846</v>
      </c>
    </row>
    <row r="100" spans="1:27" s="17" customFormat="1">
      <c r="A100" s="12"/>
      <c r="B100" s="35"/>
      <c r="C100" s="12"/>
      <c r="D100" s="8"/>
      <c r="E100" s="23"/>
      <c r="F100" s="23"/>
      <c r="G100" s="8"/>
      <c r="H100" s="8"/>
      <c r="I100" s="169" t="s">
        <v>46</v>
      </c>
      <c r="J100" s="8" t="s">
        <v>16</v>
      </c>
      <c r="K100" s="22">
        <f>D99*9.5*0.257</f>
        <v>4.883</v>
      </c>
      <c r="L100" s="8" t="s">
        <v>142</v>
      </c>
      <c r="M100" s="20"/>
      <c r="N100" s="20">
        <v>1</v>
      </c>
      <c r="O100" s="22">
        <v>1</v>
      </c>
      <c r="P100" s="20"/>
      <c r="Q100" s="77">
        <f t="shared" si="8"/>
        <v>4.883</v>
      </c>
      <c r="R100" s="77">
        <f t="shared" si="9"/>
        <v>4.883</v>
      </c>
      <c r="S100" s="20">
        <f t="shared" si="10"/>
        <v>0</v>
      </c>
      <c r="T100" s="20">
        <f t="shared" si="11"/>
        <v>0</v>
      </c>
      <c r="U100" s="20">
        <f t="shared" si="12"/>
        <v>0</v>
      </c>
      <c r="V100" s="20"/>
      <c r="W100">
        <f>IF(ISNA(VLOOKUP(I100,Матер!$A$2:$C$85,3,0)),0,VLOOKUP(I100,Матер!$A$2:$C$85,3,0))</f>
        <v>35580</v>
      </c>
      <c r="X100"/>
      <c r="Y100" s="20"/>
      <c r="AA100" s="11">
        <f>+Z100*D100</f>
        <v>0</v>
      </c>
    </row>
    <row r="101" spans="1:27" s="17" customFormat="1">
      <c r="A101" s="12"/>
      <c r="B101" s="35"/>
      <c r="C101" s="12"/>
      <c r="D101" s="8"/>
      <c r="E101" s="23"/>
      <c r="F101" s="23"/>
      <c r="G101" s="8"/>
      <c r="H101" s="8"/>
      <c r="I101" s="169" t="s">
        <v>45</v>
      </c>
      <c r="J101" s="8" t="str">
        <f>IF(ISNA(VLOOKUP(I101,Матер!$A$2:$C$85,2,0)),0,VLOOKUP(I101,Матер!$A$2:$C$85,2,0))</f>
        <v>шт</v>
      </c>
      <c r="K101" s="10">
        <f>D99*3</f>
        <v>6</v>
      </c>
      <c r="L101" s="8" t="s">
        <v>142</v>
      </c>
      <c r="M101" s="20"/>
      <c r="N101" s="20">
        <v>1</v>
      </c>
      <c r="O101" s="20">
        <v>0.42</v>
      </c>
      <c r="P101" s="20"/>
      <c r="Q101" s="20">
        <f t="shared" si="8"/>
        <v>2.52</v>
      </c>
      <c r="R101" s="20">
        <f t="shared" si="9"/>
        <v>2.52</v>
      </c>
      <c r="S101" s="20">
        <f t="shared" si="10"/>
        <v>0</v>
      </c>
      <c r="T101" s="20">
        <f t="shared" si="11"/>
        <v>0</v>
      </c>
      <c r="U101" s="20">
        <f t="shared" si="12"/>
        <v>0</v>
      </c>
      <c r="V101" s="20"/>
      <c r="W101">
        <f>IF(ISNA(VLOOKUP(I101,Матер!$A$2:$C$85,3,0)),0,VLOOKUP(I101,Матер!$A$2:$C$85,3,0))</f>
        <v>74.13</v>
      </c>
      <c r="X101"/>
      <c r="Y101" s="20"/>
      <c r="AA101" s="11">
        <f>+Z101*D101</f>
        <v>0</v>
      </c>
    </row>
    <row r="102" spans="1:27" s="17" customFormat="1">
      <c r="A102" s="12"/>
      <c r="B102" s="35"/>
      <c r="C102" s="12"/>
      <c r="D102" s="16"/>
      <c r="E102" s="23"/>
      <c r="F102" s="23"/>
      <c r="G102" s="8"/>
      <c r="H102" s="8"/>
      <c r="I102" s="169" t="s">
        <v>70</v>
      </c>
      <c r="J102" s="8" t="str">
        <f>IF(ISNA(VLOOKUP(I102,Матер!$A$2:$C$85,2,0)),0,VLOOKUP(I102,Матер!$A$2:$C$85,2,0))</f>
        <v>шт</v>
      </c>
      <c r="K102" s="10">
        <f>K101*4</f>
        <v>24</v>
      </c>
      <c r="L102" s="8" t="s">
        <v>142</v>
      </c>
      <c r="M102" s="20"/>
      <c r="N102" s="20">
        <v>1</v>
      </c>
      <c r="O102" s="20">
        <v>1.4999999999999999E-2</v>
      </c>
      <c r="P102" s="20"/>
      <c r="Q102" s="20">
        <f t="shared" si="8"/>
        <v>0.36</v>
      </c>
      <c r="R102" s="20">
        <f t="shared" si="9"/>
        <v>0.36</v>
      </c>
      <c r="S102" s="20">
        <f t="shared" si="10"/>
        <v>0</v>
      </c>
      <c r="T102" s="20">
        <f t="shared" si="11"/>
        <v>0</v>
      </c>
      <c r="U102" s="20">
        <f t="shared" si="12"/>
        <v>0</v>
      </c>
      <c r="V102" s="20"/>
      <c r="W102">
        <f>IF(ISNA(VLOOKUP(I102,Матер!$A$2:$C$85,3,0)),0,VLOOKUP(I102,Матер!$A$2:$C$85,3,0))</f>
        <v>3.5169999999999999</v>
      </c>
      <c r="X102" t="e">
        <f>SUM(#REF!)</f>
        <v>#REF!</v>
      </c>
      <c r="Y102" s="20"/>
      <c r="AA102" s="11">
        <f>+Z102*D102</f>
        <v>0</v>
      </c>
    </row>
    <row r="103" spans="1:27" s="17" customFormat="1" ht="28.5">
      <c r="A103" s="12">
        <v>16</v>
      </c>
      <c r="B103" s="160" t="s">
        <v>161</v>
      </c>
      <c r="C103" s="39" t="s">
        <v>15</v>
      </c>
      <c r="D103" s="39">
        <f>+D13+D19</f>
        <v>11</v>
      </c>
      <c r="E103" s="23"/>
      <c r="F103" s="23"/>
      <c r="G103" s="8"/>
      <c r="H103" s="8"/>
      <c r="I103" s="18"/>
      <c r="J103" s="172"/>
      <c r="K103" s="10"/>
      <c r="L103" s="8" t="s">
        <v>142</v>
      </c>
      <c r="M103" s="20"/>
      <c r="N103" s="20"/>
      <c r="O103" s="20"/>
      <c r="P103" s="20"/>
      <c r="Q103" s="20">
        <f t="shared" si="8"/>
        <v>0</v>
      </c>
      <c r="R103" s="20">
        <f>IF(N103=$R$12,Q103,0)</f>
        <v>0</v>
      </c>
      <c r="S103" s="20">
        <f t="shared" si="10"/>
        <v>0</v>
      </c>
      <c r="T103" s="20">
        <f t="shared" si="11"/>
        <v>0</v>
      </c>
      <c r="U103" s="20">
        <f t="shared" si="12"/>
        <v>0</v>
      </c>
      <c r="V103" s="20"/>
      <c r="W103">
        <f>IF(ISNA(VLOOKUP(I103,Y$149:AA$152,3,0)),0,VLOOKUP(I103,Y$149:AA$152,3,0))</f>
        <v>0</v>
      </c>
      <c r="X103"/>
      <c r="Y103" s="20"/>
    </row>
    <row r="104" spans="1:27" s="17" customFormat="1" ht="15">
      <c r="A104" s="262" t="s">
        <v>187</v>
      </c>
      <c r="B104" s="263"/>
      <c r="C104" s="263"/>
      <c r="D104" s="263"/>
      <c r="E104" s="263"/>
      <c r="F104" s="263"/>
      <c r="G104" s="263"/>
      <c r="H104" s="263"/>
      <c r="I104" s="263"/>
      <c r="J104" s="263"/>
      <c r="K104" s="263"/>
      <c r="L104" s="264"/>
      <c r="M104" s="69"/>
      <c r="N104" s="69"/>
      <c r="O104" s="69"/>
      <c r="P104" s="69"/>
      <c r="Q104" s="123">
        <f>+SUM(Q28:Q103)</f>
        <v>16117.679620000003</v>
      </c>
      <c r="R104" s="123">
        <f>+SUM(R28:R103)</f>
        <v>16061.279620000001</v>
      </c>
      <c r="S104" s="123">
        <f>+SUM(S28:S103)</f>
        <v>0</v>
      </c>
      <c r="T104" s="123">
        <f>+SUM(T28:T103)</f>
        <v>56.400000000000006</v>
      </c>
      <c r="U104" s="123">
        <f>+SUM(U28:U103)</f>
        <v>0</v>
      </c>
      <c r="V104" s="123"/>
      <c r="W104" s="20"/>
      <c r="X104" s="20" t="e">
        <f>SUM(X29:X103)</f>
        <v>#REF!</v>
      </c>
      <c r="Y104" s="20"/>
      <c r="AA104" s="77">
        <f>SUM(AA26:AA103)</f>
        <v>33.5400934995968</v>
      </c>
    </row>
    <row r="105" spans="1:27" s="17" customFormat="1" ht="15">
      <c r="A105" s="116" t="s">
        <v>189</v>
      </c>
      <c r="B105" s="276" t="s">
        <v>151</v>
      </c>
      <c r="C105" s="277"/>
      <c r="D105" s="277"/>
      <c r="E105" s="277"/>
      <c r="F105" s="277"/>
      <c r="G105" s="277"/>
      <c r="H105" s="277"/>
      <c r="I105" s="277"/>
      <c r="J105" s="277"/>
      <c r="K105" s="277"/>
      <c r="L105" s="278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20"/>
      <c r="X105" s="20"/>
      <c r="Y105" s="20"/>
      <c r="AA105" s="77"/>
    </row>
    <row r="106" spans="1:27" s="17" customFormat="1" ht="28.5">
      <c r="A106" s="116" t="s">
        <v>193</v>
      </c>
      <c r="B106" s="160" t="s">
        <v>147</v>
      </c>
      <c r="C106" s="12" t="s">
        <v>156</v>
      </c>
      <c r="D106" s="16">
        <f>+R120/1000</f>
        <v>15.34</v>
      </c>
      <c r="E106" s="23"/>
      <c r="F106" s="23"/>
      <c r="G106" s="8"/>
      <c r="H106" s="8"/>
      <c r="I106" s="18"/>
      <c r="J106" s="172"/>
      <c r="K106" s="10"/>
      <c r="L106" s="8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20"/>
      <c r="X106" s="20"/>
      <c r="Y106" s="20"/>
      <c r="AA106" s="77"/>
    </row>
    <row r="107" spans="1:27" s="17" customFormat="1" ht="42.75">
      <c r="A107" s="116" t="s">
        <v>188</v>
      </c>
      <c r="B107" s="160" t="s">
        <v>148</v>
      </c>
      <c r="C107" s="12" t="s">
        <v>156</v>
      </c>
      <c r="D107" s="64">
        <f>+R121/1000</f>
        <v>0.72127962000000112</v>
      </c>
      <c r="E107" s="23"/>
      <c r="F107" s="23"/>
      <c r="G107" s="8"/>
      <c r="H107" s="8"/>
      <c r="I107" s="18"/>
      <c r="J107" s="172"/>
      <c r="K107" s="10"/>
      <c r="L107" s="8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20"/>
      <c r="X107" s="20"/>
      <c r="Y107" s="20"/>
      <c r="AA107" s="77"/>
    </row>
    <row r="108" spans="1:27" s="17" customFormat="1" ht="15">
      <c r="A108" s="116" t="s">
        <v>190</v>
      </c>
      <c r="B108" s="276" t="s">
        <v>152</v>
      </c>
      <c r="C108" s="277"/>
      <c r="D108" s="277"/>
      <c r="E108" s="277"/>
      <c r="F108" s="277"/>
      <c r="G108" s="277"/>
      <c r="H108" s="277"/>
      <c r="I108" s="277"/>
      <c r="J108" s="277"/>
      <c r="K108" s="277"/>
      <c r="L108" s="278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20"/>
      <c r="X108" s="20"/>
      <c r="Y108" s="20"/>
      <c r="AA108" s="77"/>
    </row>
    <row r="109" spans="1:27" s="17" customFormat="1" ht="71.25">
      <c r="A109" s="116" t="s">
        <v>191</v>
      </c>
      <c r="B109" s="173" t="str">
        <f>CONCATENATE("Перевозка стоек автомобилями бортовыми грузоподъемностью до 15т, на расстояние до ",F119," км I класс груза")</f>
        <v>Перевозка стоек автомобилями бортовыми грузоподъемностью до 15т, на расстояние до 91 км I класс груза</v>
      </c>
      <c r="C109" s="12" t="s">
        <v>156</v>
      </c>
      <c r="D109" s="16">
        <f>+R120/1000</f>
        <v>15.34</v>
      </c>
      <c r="E109" s="23"/>
      <c r="F109" s="23"/>
      <c r="G109" s="23"/>
      <c r="H109" s="23"/>
      <c r="I109" s="23"/>
      <c r="J109" s="172"/>
      <c r="K109" s="10"/>
      <c r="L109" s="8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20"/>
      <c r="X109" s="20"/>
      <c r="Y109" s="20"/>
      <c r="AA109" s="77"/>
    </row>
    <row r="110" spans="1:27" s="17" customFormat="1" ht="71.25">
      <c r="A110" s="116" t="s">
        <v>192</v>
      </c>
      <c r="B110" s="160" t="str">
        <f>CONCATENATE("Перевозка грузов автомобилями бортовыми грузоподъемностью до 15т, на расстояние до ",F121-30," км I класс груза")</f>
        <v>Перевозка грузов автомобилями бортовыми грузоподъемностью до 15т, на расстояние до 55 км I класс груза</v>
      </c>
      <c r="C110" s="12" t="s">
        <v>156</v>
      </c>
      <c r="D110" s="64">
        <f>(R121+T121)/1000</f>
        <v>0.77767962000000113</v>
      </c>
      <c r="E110" s="32"/>
      <c r="F110" s="23"/>
      <c r="G110" s="8"/>
      <c r="H110" s="8"/>
      <c r="I110" s="8"/>
      <c r="J110" s="172"/>
      <c r="K110" s="10"/>
      <c r="L110" s="8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20"/>
      <c r="X110" s="20"/>
      <c r="Y110" s="20"/>
      <c r="AA110" s="77"/>
    </row>
    <row r="111" spans="1:27" s="17" customFormat="1" ht="15">
      <c r="A111" s="116" t="s">
        <v>194</v>
      </c>
      <c r="B111" s="276" t="s">
        <v>204</v>
      </c>
      <c r="C111" s="277"/>
      <c r="D111" s="277"/>
      <c r="E111" s="277"/>
      <c r="F111" s="277"/>
      <c r="G111" s="277"/>
      <c r="H111" s="277"/>
      <c r="I111" s="277"/>
      <c r="J111" s="277"/>
      <c r="K111" s="277"/>
      <c r="L111" s="278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20"/>
      <c r="X111" s="20"/>
      <c r="Y111" s="20"/>
      <c r="AA111" s="77"/>
    </row>
    <row r="112" spans="1:27" s="17" customFormat="1" ht="42.75">
      <c r="A112" s="116" t="s">
        <v>195</v>
      </c>
      <c r="B112" s="160" t="s">
        <v>149</v>
      </c>
      <c r="C112" s="12" t="s">
        <v>156</v>
      </c>
      <c r="D112" s="16">
        <f>+D106</f>
        <v>15.34</v>
      </c>
      <c r="E112" s="23"/>
      <c r="F112" s="23"/>
      <c r="G112" s="8"/>
      <c r="H112" s="8"/>
      <c r="I112" s="18"/>
      <c r="J112" s="172"/>
      <c r="K112" s="10"/>
      <c r="L112" s="8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20"/>
      <c r="X112" s="20"/>
      <c r="Y112" s="20"/>
      <c r="AA112" s="77"/>
    </row>
    <row r="113" spans="1:27" s="17" customFormat="1" ht="42.75">
      <c r="A113" s="116" t="s">
        <v>196</v>
      </c>
      <c r="B113" s="160" t="s">
        <v>150</v>
      </c>
      <c r="C113" s="12" t="s">
        <v>156</v>
      </c>
      <c r="D113" s="64">
        <f>+D107</f>
        <v>0.72127962000000112</v>
      </c>
      <c r="E113" s="23"/>
      <c r="F113" s="23"/>
      <c r="G113" s="8"/>
      <c r="H113" s="8"/>
      <c r="I113" s="18"/>
      <c r="J113" s="172"/>
      <c r="K113" s="10"/>
      <c r="L113" s="8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20"/>
      <c r="X113" s="20"/>
      <c r="Y113" s="20"/>
      <c r="AA113" s="77"/>
    </row>
    <row r="114" spans="1:27" s="17" customFormat="1" ht="15" customHeight="1">
      <c r="A114" s="116" t="s">
        <v>197</v>
      </c>
      <c r="B114" s="276" t="s">
        <v>153</v>
      </c>
      <c r="C114" s="277"/>
      <c r="D114" s="277"/>
      <c r="E114" s="277"/>
      <c r="F114" s="277"/>
      <c r="G114" s="277"/>
      <c r="H114" s="277"/>
      <c r="I114" s="277"/>
      <c r="J114" s="277"/>
      <c r="K114" s="277"/>
      <c r="L114" s="278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20"/>
      <c r="X114" s="20"/>
      <c r="Y114" s="20"/>
      <c r="AA114" s="77"/>
    </row>
    <row r="115" spans="1:27" s="17" customFormat="1" ht="71.25">
      <c r="A115" s="116" t="s">
        <v>198</v>
      </c>
      <c r="B115" s="160" t="s">
        <v>154</v>
      </c>
      <c r="C115" s="12" t="s">
        <v>156</v>
      </c>
      <c r="D115" s="64">
        <f>+P120/1000</f>
        <v>6.03</v>
      </c>
      <c r="E115" s="23"/>
      <c r="F115" s="23"/>
      <c r="G115" s="8"/>
      <c r="H115" s="8"/>
      <c r="I115" s="18"/>
      <c r="J115" s="172"/>
      <c r="K115" s="10"/>
      <c r="L115" s="8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20"/>
      <c r="X115" s="20"/>
      <c r="Y115" s="20"/>
      <c r="AA115" s="77"/>
    </row>
    <row r="116" spans="1:27" s="17" customFormat="1" ht="71.25">
      <c r="A116" s="116" t="s">
        <v>199</v>
      </c>
      <c r="B116" s="160" t="s">
        <v>155</v>
      </c>
      <c r="C116" s="12" t="s">
        <v>156</v>
      </c>
      <c r="D116" s="64">
        <f>+P121/1000</f>
        <v>0.26331199999999988</v>
      </c>
      <c r="E116" s="23"/>
      <c r="F116" s="23"/>
      <c r="G116" s="8"/>
      <c r="H116" s="8"/>
      <c r="I116" s="18"/>
      <c r="J116" s="172"/>
      <c r="K116" s="10"/>
      <c r="L116" s="8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20"/>
      <c r="X116" s="20"/>
      <c r="Y116" s="20"/>
      <c r="AA116" s="77"/>
    </row>
    <row r="117" spans="1:27" s="17" customFormat="1" ht="85.5">
      <c r="A117" s="116" t="s">
        <v>200</v>
      </c>
      <c r="B117" s="173" t="str">
        <f>CONCATENATE("Перевозка строительного мусора автомобилями-самосвалами  грузоподъемностью до 10т, на расстояние до ",F122," км I класс груза")</f>
        <v>Перевозка строительного мусора автомобилями-самосвалами  грузоподъемностью до 10т, на расстояние до 91 км I класс груза</v>
      </c>
      <c r="C117" s="12" t="s">
        <v>156</v>
      </c>
      <c r="D117" s="64">
        <f>+D115+D116</f>
        <v>6.2933120000000002</v>
      </c>
      <c r="E117" s="23"/>
      <c r="F117" s="23"/>
      <c r="G117" s="8"/>
      <c r="H117" s="8"/>
      <c r="I117" s="18"/>
      <c r="J117" s="172"/>
      <c r="K117" s="10"/>
      <c r="L117" s="8"/>
      <c r="M117" s="69"/>
      <c r="N117" s="69"/>
      <c r="O117" s="69"/>
      <c r="P117" s="69"/>
      <c r="Q117" s="69"/>
      <c r="R117" s="69">
        <v>1</v>
      </c>
      <c r="S117" s="69">
        <v>2</v>
      </c>
      <c r="T117" s="69">
        <v>3</v>
      </c>
      <c r="U117" s="69">
        <v>4</v>
      </c>
      <c r="V117" s="69"/>
      <c r="W117" s="20"/>
      <c r="X117" s="20"/>
      <c r="Y117" s="20"/>
      <c r="AA117" s="77"/>
    </row>
    <row r="118" spans="1:27" s="17" customFormat="1">
      <c r="A118" s="24"/>
      <c r="B118" s="25" t="s">
        <v>157</v>
      </c>
      <c r="C118" s="26"/>
      <c r="D118" s="27"/>
      <c r="G118" s="20"/>
      <c r="H118" s="20"/>
      <c r="I118" s="28"/>
      <c r="J118" s="29"/>
      <c r="K118" s="30"/>
      <c r="L118" s="20"/>
      <c r="M118" s="69"/>
      <c r="N118" s="69"/>
      <c r="O118" s="69" t="s">
        <v>167</v>
      </c>
      <c r="P118" s="124">
        <f>SUM(P13:P27)</f>
        <v>6293.3119999999999</v>
      </c>
      <c r="Q118" s="17" t="s">
        <v>175</v>
      </c>
      <c r="R118" s="133">
        <f>+R104</f>
        <v>16061.279620000001</v>
      </c>
      <c r="S118" s="133">
        <f t="shared" ref="S118:U118" si="13">+S104</f>
        <v>0</v>
      </c>
      <c r="T118" s="133">
        <f t="shared" si="13"/>
        <v>56.400000000000006</v>
      </c>
      <c r="U118" s="133">
        <f t="shared" si="13"/>
        <v>0</v>
      </c>
      <c r="V118" s="69"/>
      <c r="W118" s="20"/>
      <c r="X118" s="20"/>
      <c r="Y118" s="20"/>
      <c r="AA118" s="77"/>
    </row>
    <row r="119" spans="1:27" s="17" customFormat="1">
      <c r="A119" s="24"/>
      <c r="B119" s="139" t="s">
        <v>158</v>
      </c>
      <c r="D119" s="27"/>
      <c r="F119" s="162">
        <v>91</v>
      </c>
      <c r="G119" s="140" t="s">
        <v>14</v>
      </c>
      <c r="H119" s="20"/>
      <c r="I119" s="28"/>
      <c r="J119" s="29"/>
      <c r="K119" s="30"/>
      <c r="L119" s="20"/>
      <c r="M119" s="69"/>
      <c r="N119" s="69"/>
      <c r="O119" s="69"/>
      <c r="P119" s="124"/>
      <c r="R119" s="133"/>
      <c r="S119" s="133"/>
      <c r="T119" s="133"/>
      <c r="U119" s="133"/>
      <c r="V119" s="69"/>
      <c r="W119" s="20"/>
      <c r="X119" s="20"/>
      <c r="Y119" s="20"/>
      <c r="AA119" s="77"/>
    </row>
    <row r="120" spans="1:27" s="17" customFormat="1">
      <c r="A120" s="24"/>
      <c r="B120" s="25" t="s">
        <v>159</v>
      </c>
      <c r="D120" s="27"/>
      <c r="F120" s="163">
        <f>+R120/1000</f>
        <v>15.34</v>
      </c>
      <c r="G120" s="140" t="s">
        <v>27</v>
      </c>
      <c r="H120" s="20"/>
      <c r="I120" s="28"/>
      <c r="J120" s="29"/>
      <c r="K120" s="30"/>
      <c r="L120" s="20"/>
      <c r="M120" s="69"/>
      <c r="N120" s="69"/>
      <c r="O120" s="69" t="s">
        <v>176</v>
      </c>
      <c r="P120" s="137">
        <f>+P13+P19+P22</f>
        <v>6030</v>
      </c>
      <c r="Q120" s="69" t="s">
        <v>172</v>
      </c>
      <c r="R120" s="138">
        <f>R30+R43</f>
        <v>15340</v>
      </c>
      <c r="S120" s="69"/>
      <c r="U120" s="69"/>
      <c r="V120" s="69"/>
      <c r="W120" s="20"/>
      <c r="X120" s="20"/>
      <c r="Y120" s="20"/>
      <c r="AA120" s="77"/>
    </row>
    <row r="121" spans="1:27" s="17" customFormat="1">
      <c r="A121" s="24"/>
      <c r="B121" s="17" t="s">
        <v>213</v>
      </c>
      <c r="F121" s="161">
        <v>85</v>
      </c>
      <c r="G121" s="17" t="s">
        <v>14</v>
      </c>
      <c r="H121" s="20"/>
      <c r="I121" s="28"/>
      <c r="J121" s="29"/>
      <c r="K121" s="30"/>
      <c r="L121" s="20"/>
      <c r="M121" s="69"/>
      <c r="N121" s="69"/>
      <c r="O121" s="69" t="s">
        <v>33</v>
      </c>
      <c r="P121" s="124">
        <f>+P118-P120</f>
        <v>263.3119999999999</v>
      </c>
      <c r="Q121" s="69" t="s">
        <v>173</v>
      </c>
      <c r="R121" s="123">
        <f>R118-R120</f>
        <v>721.27962000000116</v>
      </c>
      <c r="S121" s="69"/>
      <c r="T121" s="123">
        <f>T118</f>
        <v>56.400000000000006</v>
      </c>
      <c r="U121" s="69"/>
      <c r="V121" s="69"/>
      <c r="W121" s="20"/>
      <c r="X121" s="20"/>
      <c r="Y121" s="20"/>
      <c r="AA121" s="77"/>
    </row>
    <row r="122" spans="1:27" s="17" customFormat="1">
      <c r="A122" s="24"/>
      <c r="B122" s="139" t="s">
        <v>153</v>
      </c>
      <c r="D122" s="27"/>
      <c r="F122" s="162">
        <v>91</v>
      </c>
      <c r="G122" s="140" t="s">
        <v>14</v>
      </c>
      <c r="H122" s="20"/>
      <c r="I122" s="28"/>
      <c r="J122" s="29"/>
      <c r="K122" s="30"/>
      <c r="L122" s="20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20"/>
      <c r="X122" s="20"/>
      <c r="Y122" s="20"/>
      <c r="AA122" s="77"/>
    </row>
    <row r="123" spans="1:27" s="17" customFormat="1">
      <c r="A123" s="24"/>
      <c r="B123" s="139" t="s">
        <v>160</v>
      </c>
      <c r="D123" s="27"/>
      <c r="F123" s="164">
        <f>P118/1000</f>
        <v>6.2933120000000002</v>
      </c>
      <c r="G123" s="140" t="s">
        <v>27</v>
      </c>
      <c r="H123" s="20"/>
      <c r="I123" s="28"/>
      <c r="J123" s="29"/>
      <c r="K123" s="30"/>
      <c r="L123" s="20"/>
      <c r="M123" s="69"/>
      <c r="N123" s="69"/>
      <c r="O123" s="69"/>
      <c r="P123" s="69"/>
      <c r="Q123" s="69"/>
      <c r="R123" s="69">
        <f>+SUM(R120:U121)-Q104</f>
        <v>0</v>
      </c>
      <c r="S123" s="69"/>
      <c r="T123" s="69"/>
      <c r="U123" s="69"/>
      <c r="V123" s="69"/>
      <c r="W123" s="20"/>
      <c r="X123" s="20"/>
      <c r="Y123" s="20"/>
      <c r="AA123" s="77"/>
    </row>
    <row r="124" spans="1:27" s="17" customFormat="1">
      <c r="A124" s="24"/>
      <c r="B124" s="25"/>
      <c r="C124" s="26"/>
      <c r="D124" s="27"/>
      <c r="G124" s="20"/>
      <c r="H124" s="20"/>
      <c r="I124" s="28"/>
      <c r="J124" s="29"/>
      <c r="K124" s="30"/>
      <c r="L124" s="20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20"/>
      <c r="X124" s="20"/>
      <c r="Y124" s="20"/>
      <c r="AA124" s="77"/>
    </row>
    <row r="125" spans="1:27" s="17" customFormat="1">
      <c r="A125" s="24"/>
      <c r="B125" s="139" t="s">
        <v>211</v>
      </c>
      <c r="C125" s="26"/>
      <c r="D125" s="27"/>
      <c r="G125" s="20"/>
      <c r="H125" s="20"/>
      <c r="I125" s="28"/>
      <c r="J125" s="29"/>
      <c r="K125" s="30"/>
      <c r="L125" s="20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20"/>
      <c r="X125" s="20"/>
      <c r="Y125" s="20"/>
      <c r="AA125" s="77"/>
    </row>
    <row r="126" spans="1:27" s="17" customFormat="1">
      <c r="A126" s="24"/>
      <c r="B126" s="25"/>
      <c r="C126" s="26"/>
      <c r="D126" s="27"/>
      <c r="G126" s="20"/>
      <c r="H126" s="20"/>
      <c r="I126" s="28"/>
      <c r="J126" s="29"/>
      <c r="K126" s="30"/>
      <c r="L126" s="20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20"/>
      <c r="X126" s="20"/>
      <c r="Y126" s="20"/>
      <c r="AA126" s="77"/>
    </row>
    <row r="127" spans="1:27" s="17" customFormat="1">
      <c r="A127" s="273" t="s">
        <v>212</v>
      </c>
      <c r="B127" s="273"/>
      <c r="C127" s="273"/>
      <c r="D127" s="273"/>
      <c r="E127" s="273"/>
      <c r="F127" s="273"/>
      <c r="G127" s="273"/>
      <c r="H127" s="273"/>
      <c r="I127" s="273"/>
      <c r="J127" s="273"/>
      <c r="K127" s="273"/>
      <c r="L127" s="273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20"/>
      <c r="X127" s="20"/>
      <c r="Y127" s="20"/>
      <c r="AA127" s="77"/>
    </row>
    <row r="128" spans="1:27" s="17" customFormat="1">
      <c r="A128" s="24"/>
      <c r="B128" s="25"/>
      <c r="C128" s="26"/>
      <c r="D128" s="27"/>
      <c r="G128" s="20"/>
      <c r="H128" s="20"/>
      <c r="I128" s="28"/>
      <c r="J128" s="29"/>
      <c r="K128" s="30"/>
      <c r="L128" s="20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20"/>
      <c r="X128" s="20"/>
      <c r="Y128" s="20"/>
      <c r="AA128" s="77"/>
    </row>
    <row r="129" spans="1:30" s="17" customFormat="1">
      <c r="A129" s="24"/>
      <c r="B129" s="25"/>
      <c r="C129" s="26"/>
      <c r="D129" s="27"/>
      <c r="G129" s="20"/>
      <c r="H129" s="20"/>
      <c r="I129" s="28"/>
      <c r="J129" s="29"/>
      <c r="K129" s="30"/>
      <c r="L129" s="20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20"/>
      <c r="X129" s="20"/>
      <c r="Y129" s="20"/>
      <c r="AA129" s="77"/>
    </row>
    <row r="130" spans="1:30" s="17" customFormat="1">
      <c r="A130" s="24"/>
      <c r="B130" s="25"/>
      <c r="C130" s="26"/>
      <c r="D130" s="27"/>
      <c r="G130" s="20"/>
      <c r="H130" s="20"/>
      <c r="I130" s="28"/>
      <c r="J130" s="29"/>
      <c r="K130" s="30"/>
      <c r="L130" s="20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20"/>
      <c r="X130" s="20"/>
      <c r="Y130" s="20"/>
      <c r="AA130" s="77"/>
    </row>
    <row r="131" spans="1:30" s="17" customFormat="1">
      <c r="A131" s="24"/>
      <c r="B131" s="25"/>
      <c r="C131" s="26"/>
      <c r="D131" s="27"/>
      <c r="G131" s="20"/>
      <c r="H131" s="20"/>
      <c r="I131" s="28"/>
      <c r="J131" s="29"/>
      <c r="K131" s="30"/>
      <c r="L131" s="20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20"/>
      <c r="X131" s="20"/>
      <c r="Y131" s="20"/>
      <c r="AA131" s="77"/>
    </row>
    <row r="132" spans="1:30" s="17" customFormat="1">
      <c r="A132" s="24"/>
      <c r="B132" s="25"/>
      <c r="C132" s="26"/>
      <c r="D132" s="27"/>
      <c r="G132" s="20"/>
      <c r="H132" s="20"/>
      <c r="I132" s="28"/>
      <c r="J132" s="29"/>
      <c r="K132" s="30"/>
      <c r="L132" s="20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20"/>
      <c r="X132" s="20"/>
      <c r="Y132" s="20"/>
      <c r="AA132" s="77"/>
    </row>
    <row r="133" spans="1:30" s="17" customFormat="1">
      <c r="A133" s="24"/>
      <c r="B133" s="25"/>
      <c r="C133" s="26"/>
      <c r="D133" s="27"/>
      <c r="G133" s="20"/>
      <c r="H133" s="20"/>
      <c r="I133" s="28"/>
      <c r="J133" s="29"/>
      <c r="K133" s="30"/>
      <c r="L133" s="20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20"/>
      <c r="X133" s="20"/>
      <c r="Y133" s="20"/>
      <c r="AA133" s="77"/>
    </row>
    <row r="134" spans="1:30" s="17" customFormat="1">
      <c r="A134" s="24"/>
      <c r="B134" s="25"/>
      <c r="C134" s="26"/>
      <c r="D134" s="27"/>
      <c r="G134" s="20"/>
      <c r="H134" s="20"/>
      <c r="I134" s="28"/>
      <c r="J134" s="29"/>
      <c r="K134" s="30"/>
      <c r="L134" s="20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20"/>
      <c r="X134" s="20"/>
      <c r="Y134" s="20"/>
      <c r="AA134" s="77"/>
    </row>
    <row r="135" spans="1:30" s="17" customFormat="1">
      <c r="A135" s="24"/>
      <c r="B135" s="25"/>
      <c r="C135" s="26"/>
      <c r="D135" s="27"/>
      <c r="G135" s="20"/>
      <c r="H135" s="20"/>
      <c r="I135" s="28"/>
      <c r="J135" s="29"/>
      <c r="K135" s="30"/>
      <c r="L135" s="20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20"/>
      <c r="X135" s="20"/>
      <c r="Y135" s="20"/>
      <c r="AA135" s="77"/>
    </row>
    <row r="136" spans="1:30" s="17" customFormat="1">
      <c r="A136" s="24"/>
      <c r="B136" s="25"/>
      <c r="C136" s="26"/>
      <c r="D136" s="27"/>
      <c r="G136" s="20"/>
      <c r="H136" s="20"/>
      <c r="I136" s="28"/>
      <c r="J136" s="29"/>
      <c r="K136" s="30"/>
      <c r="L136" s="20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20"/>
      <c r="X136" s="20"/>
      <c r="Y136" s="20"/>
      <c r="AA136" s="77"/>
    </row>
    <row r="137" spans="1:30" s="17" customFormat="1">
      <c r="A137" s="24"/>
      <c r="B137" s="25"/>
      <c r="C137" s="26"/>
      <c r="D137" s="27"/>
      <c r="G137" s="20"/>
      <c r="H137" s="20"/>
      <c r="I137" s="28"/>
      <c r="J137" s="29"/>
      <c r="K137" s="30"/>
      <c r="L137" s="20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20"/>
      <c r="X137" s="20"/>
      <c r="Y137" s="20"/>
      <c r="AA137" s="77"/>
    </row>
    <row r="138" spans="1:30" s="17" customFormat="1">
      <c r="A138" s="24"/>
      <c r="B138" s="25"/>
      <c r="C138" s="26"/>
      <c r="D138" s="27"/>
      <c r="G138" s="20"/>
      <c r="H138" s="20"/>
      <c r="I138" s="28"/>
      <c r="J138" s="29"/>
      <c r="K138" s="30"/>
      <c r="L138" s="20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20"/>
      <c r="X138" s="20"/>
      <c r="Y138" s="20"/>
      <c r="AA138" s="77"/>
    </row>
    <row r="139" spans="1:30" s="17" customFormat="1">
      <c r="A139" s="24"/>
      <c r="B139" s="25"/>
      <c r="C139" s="26"/>
      <c r="D139" s="27"/>
      <c r="G139" s="20"/>
      <c r="H139" s="20"/>
      <c r="I139" s="28"/>
      <c r="J139" s="29"/>
      <c r="K139" s="30"/>
      <c r="L139" s="20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20"/>
      <c r="X139" s="20"/>
      <c r="Y139" s="20"/>
      <c r="AA139" s="77"/>
    </row>
    <row r="140" spans="1:30" s="17" customFormat="1">
      <c r="A140" s="24"/>
      <c r="B140" s="25"/>
      <c r="C140" s="26"/>
      <c r="D140" s="27"/>
      <c r="G140" s="20"/>
      <c r="H140" s="20"/>
      <c r="I140" s="28"/>
      <c r="J140" s="29"/>
      <c r="K140" s="30"/>
      <c r="L140" s="20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20"/>
      <c r="X140" s="20"/>
      <c r="Y140" s="20"/>
      <c r="AA140" s="77"/>
    </row>
    <row r="141" spans="1:30" s="17" customFormat="1">
      <c r="A141" s="24"/>
      <c r="B141" t="s">
        <v>130</v>
      </c>
      <c r="C141"/>
      <c r="D141" t="s">
        <v>131</v>
      </c>
      <c r="G141" s="20"/>
      <c r="H141" s="20"/>
      <c r="I141" s="28"/>
      <c r="J141" s="29"/>
      <c r="K141" s="3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</row>
    <row r="142" spans="1:30" s="17" customFormat="1">
      <c r="A142" s="24"/>
      <c r="B142"/>
      <c r="C142"/>
      <c r="D142"/>
      <c r="G142" s="20"/>
      <c r="H142" s="20"/>
      <c r="I142" s="28"/>
      <c r="J142" s="29"/>
      <c r="K142" s="3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 t="str">
        <f>+F8</f>
        <v xml:space="preserve">"ВЛ-04кВ от КТП-610/100 Ф№2 Сайгуты </v>
      </c>
      <c r="AA142" s="17" t="s">
        <v>116</v>
      </c>
      <c r="AB142" s="17" t="s">
        <v>116</v>
      </c>
      <c r="AC142" s="17" t="s">
        <v>107</v>
      </c>
    </row>
    <row r="143" spans="1:30" s="17" customFormat="1">
      <c r="A143" s="24"/>
      <c r="B143" t="s">
        <v>132</v>
      </c>
      <c r="C143"/>
      <c r="D143" t="s">
        <v>133</v>
      </c>
      <c r="G143" s="20"/>
      <c r="H143" s="20"/>
      <c r="I143" s="28"/>
      <c r="J143" s="29"/>
      <c r="K143" s="3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 t="s">
        <v>99</v>
      </c>
      <c r="Z143" s="17">
        <f>+D30</f>
        <v>2</v>
      </c>
      <c r="AA143" s="17">
        <v>9.6300000000000008</v>
      </c>
      <c r="AB143" s="17">
        <f>+Z143*AA143</f>
        <v>19.260000000000002</v>
      </c>
      <c r="AC143" s="17" t="e">
        <f>+SUM(#REF!)</f>
        <v>#REF!</v>
      </c>
      <c r="AD143" s="17" t="e">
        <f>+ROUNDUP(AC143/1000,1)</f>
        <v>#REF!</v>
      </c>
    </row>
    <row r="144" spans="1:30" s="17" customFormat="1">
      <c r="A144" s="24"/>
      <c r="B144"/>
      <c r="C144"/>
      <c r="D144"/>
      <c r="G144" s="20"/>
      <c r="H144" s="20"/>
      <c r="I144" s="28"/>
      <c r="J144" s="29"/>
      <c r="K144" s="3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 t="s">
        <v>100</v>
      </c>
      <c r="Z144" s="17">
        <f>+D43+D54</f>
        <v>9</v>
      </c>
      <c r="AA144" s="17">
        <v>5.36</v>
      </c>
      <c r="AB144" s="17">
        <f t="shared" ref="AB144:AB149" si="14">+Z144*AA144</f>
        <v>48.24</v>
      </c>
      <c r="AC144" s="17" t="e">
        <f>+SUM(#REF!)</f>
        <v>#REF!</v>
      </c>
      <c r="AD144" s="17" t="e">
        <f t="shared" ref="AD144:AD149" si="15">+ROUNDUP(AC144/1000,1)</f>
        <v>#REF!</v>
      </c>
    </row>
    <row r="145" spans="1:30" s="17" customFormat="1">
      <c r="A145" s="24"/>
      <c r="B145" t="s">
        <v>134</v>
      </c>
      <c r="C145"/>
      <c r="D145" t="s">
        <v>135</v>
      </c>
      <c r="G145" s="20"/>
      <c r="H145" s="20"/>
      <c r="I145" s="28"/>
      <c r="J145" s="29"/>
      <c r="K145" s="3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 t="s">
        <v>102</v>
      </c>
      <c r="Z145" s="17" t="e">
        <f>+#REF!</f>
        <v>#REF!</v>
      </c>
      <c r="AA145" s="17">
        <v>1</v>
      </c>
      <c r="AB145" s="17" t="e">
        <f t="shared" si="14"/>
        <v>#REF!</v>
      </c>
      <c r="AC145" s="17" t="e">
        <f>+SUM(#REF!)</f>
        <v>#REF!</v>
      </c>
      <c r="AD145" s="17" t="e">
        <f t="shared" si="15"/>
        <v>#REF!</v>
      </c>
    </row>
    <row r="146" spans="1:30" s="17" customFormat="1">
      <c r="A146" s="24"/>
      <c r="B146"/>
      <c r="C146"/>
      <c r="D146"/>
      <c r="G146" s="20"/>
      <c r="H146" s="20"/>
      <c r="I146" s="28"/>
      <c r="J146" s="29"/>
      <c r="K146" s="3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 t="s">
        <v>101</v>
      </c>
      <c r="Z146" s="17">
        <f>+D69</f>
        <v>0</v>
      </c>
      <c r="AA146" s="17">
        <v>1.08</v>
      </c>
      <c r="AB146" s="17">
        <f t="shared" si="14"/>
        <v>0</v>
      </c>
      <c r="AC146" s="17" t="e">
        <f>+SUM(#REF!)</f>
        <v>#REF!</v>
      </c>
      <c r="AD146" s="17" t="e">
        <f t="shared" si="15"/>
        <v>#REF!</v>
      </c>
    </row>
    <row r="147" spans="1:30" s="17" customFormat="1">
      <c r="A147" s="24"/>
      <c r="B147" t="s">
        <v>136</v>
      </c>
      <c r="C147"/>
      <c r="D147" t="s">
        <v>137</v>
      </c>
      <c r="G147" s="20"/>
      <c r="H147" s="20"/>
      <c r="I147" s="28"/>
      <c r="J147" s="29"/>
      <c r="K147" s="3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 t="s">
        <v>103</v>
      </c>
      <c r="Z147" s="17">
        <f>+D89</f>
        <v>2</v>
      </c>
      <c r="AA147" s="17">
        <v>2</v>
      </c>
      <c r="AB147" s="17">
        <f t="shared" si="14"/>
        <v>4</v>
      </c>
      <c r="AC147" s="17" t="e">
        <f>+SUM(#REF!)</f>
        <v>#REF!</v>
      </c>
      <c r="AD147" s="17" t="e">
        <f t="shared" si="15"/>
        <v>#REF!</v>
      </c>
    </row>
    <row r="148" spans="1:30" s="17" customFormat="1">
      <c r="A148" s="24"/>
      <c r="B148"/>
      <c r="C148"/>
      <c r="D148"/>
      <c r="G148" s="20"/>
      <c r="H148" s="20"/>
      <c r="I148" s="28"/>
      <c r="J148" s="29"/>
      <c r="K148" s="3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 t="s">
        <v>104</v>
      </c>
      <c r="Z148" s="17">
        <f>+D99</f>
        <v>2</v>
      </c>
      <c r="AA148" s="17">
        <v>2.08</v>
      </c>
      <c r="AB148" s="17">
        <f t="shared" si="14"/>
        <v>4.16</v>
      </c>
      <c r="AC148" s="17" t="e">
        <f>+SUM(#REF!)</f>
        <v>#REF!</v>
      </c>
      <c r="AD148" s="17" t="e">
        <f t="shared" si="15"/>
        <v>#REF!</v>
      </c>
    </row>
    <row r="149" spans="1:30" s="17" customFormat="1">
      <c r="A149" s="24"/>
      <c r="B149"/>
      <c r="C149"/>
      <c r="D149"/>
      <c r="G149" s="20"/>
      <c r="H149" s="20"/>
      <c r="I149" s="28"/>
      <c r="J149" s="29"/>
      <c r="K149" s="3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 t="s">
        <v>105</v>
      </c>
      <c r="Z149" s="17">
        <f>+D28</f>
        <v>0.49199999999999999</v>
      </c>
      <c r="AA149" s="17">
        <v>36.6</v>
      </c>
      <c r="AB149" s="17">
        <f t="shared" si="14"/>
        <v>18.007200000000001</v>
      </c>
      <c r="AC149" s="17" t="e">
        <f>+SUM(#REF!)+SUM(#REF!)</f>
        <v>#REF!</v>
      </c>
      <c r="AD149" s="17" t="e">
        <f t="shared" si="15"/>
        <v>#REF!</v>
      </c>
    </row>
    <row r="150" spans="1:30">
      <c r="AB150" t="e">
        <f>SUM(AB143:AB149)</f>
        <v>#REF!</v>
      </c>
      <c r="AC150" t="e">
        <f>SUM(AC143:AC149)</f>
        <v>#REF!</v>
      </c>
    </row>
    <row r="151" spans="1:30">
      <c r="AC151" s="98" t="e">
        <f>+#REF!-AC150</f>
        <v>#REF!</v>
      </c>
    </row>
  </sheetData>
  <mergeCells count="11">
    <mergeCell ref="A127:L127"/>
    <mergeCell ref="K8:L8"/>
    <mergeCell ref="O10:Q10"/>
    <mergeCell ref="M11:N11"/>
    <mergeCell ref="P11:Q11"/>
    <mergeCell ref="B114:L114"/>
    <mergeCell ref="R11:U11"/>
    <mergeCell ref="A104:L104"/>
    <mergeCell ref="B105:L105"/>
    <mergeCell ref="B108:L108"/>
    <mergeCell ref="B111:L111"/>
  </mergeCells>
  <dataValidations count="1">
    <dataValidation type="list" allowBlank="1" showInputMessage="1" showErrorMessage="1" sqref="I28:I102">
      <formula1>материалы</formula1>
    </dataValidation>
  </dataValidations>
  <hyperlinks>
    <hyperlink ref="W27" r:id="rId1" display="https://k-ps.ru/spravochnik/provoda-izolirovannyie/dlya-vozdushnyix-linij-peredach/sip-2/provod-sip-2-3%D1%8570_1%D1%8554_6.html"/>
  </hyperlinks>
  <pageMargins left="0.70866141732283472" right="0.70866141732283472" top="0.74803149606299213" bottom="0.74803149606299213" header="0.31496062992125984" footer="0.31496062992125984"/>
  <pageSetup paperSize="256" scale="23" orientation="landscape"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AD151"/>
  <sheetViews>
    <sheetView zoomScale="85" zoomScaleNormal="85" workbookViewId="0">
      <selection activeCell="C7" sqref="C7"/>
    </sheetView>
  </sheetViews>
  <sheetFormatPr defaultRowHeight="12.75" outlineLevelRow="1"/>
  <cols>
    <col min="1" max="1" width="7.5703125" customWidth="1"/>
    <col min="2" max="2" width="30.140625" customWidth="1"/>
    <col min="3" max="3" width="7.5703125" customWidth="1"/>
    <col min="4" max="4" width="9.28515625" customWidth="1"/>
    <col min="5" max="5" width="30" customWidth="1"/>
    <col min="6" max="6" width="8.140625" bestFit="1" customWidth="1"/>
    <col min="7" max="7" width="11" bestFit="1" customWidth="1"/>
    <col min="8" max="8" width="11.140625" customWidth="1"/>
    <col min="9" max="9" width="60.28515625" customWidth="1"/>
    <col min="10" max="10" width="10.140625" customWidth="1"/>
    <col min="11" max="11" width="8.7109375" customWidth="1"/>
    <col min="12" max="12" width="13.42578125" customWidth="1"/>
    <col min="13" max="13" width="6.140625" bestFit="1" customWidth="1"/>
    <col min="14" max="14" width="6.85546875" bestFit="1" customWidth="1"/>
    <col min="15" max="15" width="13.140625" bestFit="1" customWidth="1"/>
    <col min="16" max="16" width="9.42578125" customWidth="1"/>
    <col min="17" max="17" width="10.42578125" customWidth="1"/>
    <col min="18" max="18" width="10.42578125" bestFit="1" customWidth="1"/>
    <col min="19" max="19" width="7.5703125" customWidth="1"/>
    <col min="20" max="20" width="5.85546875" bestFit="1" customWidth="1"/>
    <col min="21" max="21" width="6.5703125" customWidth="1"/>
    <col min="22" max="22" width="45.42578125" customWidth="1"/>
    <col min="23" max="23" width="10.42578125" bestFit="1" customWidth="1"/>
    <col min="25" max="25" width="59.28515625" customWidth="1"/>
    <col min="27" max="27" width="14" customWidth="1"/>
  </cols>
  <sheetData>
    <row r="1" spans="1:26" ht="18" customHeight="1">
      <c r="B1" s="115"/>
      <c r="K1" s="2" t="s">
        <v>0</v>
      </c>
      <c r="L1" s="1"/>
    </row>
    <row r="2" spans="1:26">
      <c r="B2" s="3"/>
      <c r="E2" s="4"/>
      <c r="J2" s="2" t="s">
        <v>138</v>
      </c>
      <c r="K2" s="2"/>
      <c r="L2" s="1"/>
      <c r="Y2" s="71" t="s">
        <v>77</v>
      </c>
      <c r="Z2" s="17">
        <v>1591</v>
      </c>
    </row>
    <row r="3" spans="1:26" ht="18" customHeight="1">
      <c r="B3" s="115"/>
      <c r="J3" s="2" t="s">
        <v>139</v>
      </c>
      <c r="K3" s="2"/>
      <c r="L3" s="1"/>
    </row>
    <row r="4" spans="1:26" ht="18" customHeight="1">
      <c r="B4" s="3"/>
      <c r="J4" s="153" t="s">
        <v>201</v>
      </c>
      <c r="K4" s="153"/>
      <c r="L4" s="1"/>
    </row>
    <row r="5" spans="1:26" ht="18">
      <c r="B5" s="34"/>
      <c r="C5" s="34"/>
      <c r="D5" s="34"/>
      <c r="E5" s="34"/>
      <c r="F5" s="34"/>
      <c r="G5" s="34" t="s">
        <v>1</v>
      </c>
      <c r="H5" s="34"/>
      <c r="I5" s="34"/>
      <c r="J5" s="34"/>
      <c r="K5" s="34"/>
      <c r="L5" s="34"/>
    </row>
    <row r="6" spans="1:26" ht="18" customHeight="1">
      <c r="B6" s="34"/>
      <c r="E6" s="13" t="s">
        <v>17</v>
      </c>
      <c r="F6" s="14"/>
      <c r="G6" s="41"/>
      <c r="H6" s="41"/>
      <c r="I6" s="34"/>
      <c r="J6" s="34"/>
      <c r="K6" s="42"/>
      <c r="L6" s="34"/>
    </row>
    <row r="7" spans="1:26" ht="13.5" customHeight="1" thickBot="1">
      <c r="B7" s="34"/>
      <c r="C7" s="34"/>
      <c r="D7" s="34"/>
      <c r="E7" s="34"/>
      <c r="F7" s="43" t="s">
        <v>2</v>
      </c>
      <c r="G7" s="34"/>
      <c r="H7" s="34"/>
      <c r="I7" s="34"/>
      <c r="J7" s="34"/>
      <c r="K7" s="34"/>
      <c r="L7" s="34"/>
    </row>
    <row r="8" spans="1:26" ht="18.75" thickBot="1">
      <c r="B8" s="44"/>
      <c r="C8" s="44"/>
      <c r="D8" s="44"/>
      <c r="E8" s="44"/>
      <c r="F8" s="34" t="s">
        <v>207</v>
      </c>
      <c r="G8" s="44"/>
      <c r="H8" s="44"/>
      <c r="I8" s="44"/>
      <c r="J8" s="95" t="s">
        <v>140</v>
      </c>
      <c r="K8" s="274">
        <v>100288</v>
      </c>
      <c r="L8" s="275"/>
      <c r="M8" s="31"/>
      <c r="N8" s="31"/>
      <c r="O8" s="31"/>
      <c r="P8" s="31"/>
      <c r="Q8" s="31"/>
      <c r="R8" s="31"/>
      <c r="S8" s="31"/>
      <c r="T8" s="31"/>
      <c r="U8" s="31"/>
      <c r="V8" s="31"/>
      <c r="W8" s="17"/>
      <c r="X8" s="17"/>
      <c r="Y8" s="17"/>
    </row>
    <row r="9" spans="1:26">
      <c r="A9" s="45" t="s">
        <v>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6" ht="24.75" customHeight="1">
      <c r="A10" s="46" t="s">
        <v>4</v>
      </c>
      <c r="B10" s="46" t="s">
        <v>5</v>
      </c>
      <c r="C10" s="47" t="s">
        <v>6</v>
      </c>
      <c r="D10" s="48"/>
      <c r="E10" s="47" t="s">
        <v>7</v>
      </c>
      <c r="F10" s="49"/>
      <c r="G10" s="49"/>
      <c r="H10" s="48"/>
      <c r="I10" s="47" t="s">
        <v>8</v>
      </c>
      <c r="J10" s="49"/>
      <c r="K10" s="49"/>
      <c r="L10" s="48"/>
      <c r="M10" s="118"/>
      <c r="N10" s="118"/>
      <c r="O10" s="279" t="s">
        <v>162</v>
      </c>
      <c r="P10" s="280"/>
      <c r="Q10" s="281"/>
      <c r="R10" s="11"/>
      <c r="S10" s="11"/>
      <c r="T10" s="11"/>
      <c r="U10" s="11"/>
      <c r="V10" s="11"/>
      <c r="W10" s="32"/>
      <c r="X10" s="32"/>
      <c r="Y10" s="32"/>
    </row>
    <row r="11" spans="1:26" ht="17.25" customHeight="1">
      <c r="A11" s="50"/>
      <c r="B11" s="50"/>
      <c r="C11" s="5" t="s">
        <v>9</v>
      </c>
      <c r="D11" s="5" t="s">
        <v>10</v>
      </c>
      <c r="E11" s="5" t="s">
        <v>11</v>
      </c>
      <c r="F11" s="5" t="s">
        <v>9</v>
      </c>
      <c r="G11" s="5" t="s">
        <v>10</v>
      </c>
      <c r="H11" s="6" t="s">
        <v>12</v>
      </c>
      <c r="I11" s="5" t="s">
        <v>11</v>
      </c>
      <c r="J11" s="5" t="s">
        <v>9</v>
      </c>
      <c r="K11" s="5" t="s">
        <v>10</v>
      </c>
      <c r="L11" s="6" t="s">
        <v>13</v>
      </c>
      <c r="M11" s="239" t="s">
        <v>163</v>
      </c>
      <c r="N11" s="241"/>
      <c r="O11" s="158" t="s">
        <v>164</v>
      </c>
      <c r="P11" s="239" t="s">
        <v>165</v>
      </c>
      <c r="Q11" s="241"/>
      <c r="R11" s="239" t="s">
        <v>166</v>
      </c>
      <c r="S11" s="240"/>
      <c r="T11" s="240"/>
      <c r="U11" s="241"/>
      <c r="V11" s="130"/>
      <c r="W11" s="36"/>
      <c r="X11" s="36"/>
      <c r="Y11" s="36"/>
    </row>
    <row r="12" spans="1:26" ht="14.25" customHeight="1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33">
        <v>9</v>
      </c>
      <c r="J12" s="33">
        <v>10</v>
      </c>
      <c r="K12" s="33">
        <v>11</v>
      </c>
      <c r="L12" s="33">
        <v>12</v>
      </c>
      <c r="M12" s="119" t="s">
        <v>167</v>
      </c>
      <c r="N12" s="119" t="s">
        <v>168</v>
      </c>
      <c r="O12" s="120"/>
      <c r="P12" s="120" t="s">
        <v>167</v>
      </c>
      <c r="Q12" s="120" t="s">
        <v>168</v>
      </c>
      <c r="R12" s="121">
        <v>1</v>
      </c>
      <c r="S12" s="122">
        <v>2</v>
      </c>
      <c r="T12" s="121">
        <v>3</v>
      </c>
      <c r="U12" s="122">
        <v>4</v>
      </c>
      <c r="V12" s="131"/>
      <c r="X12" s="20"/>
      <c r="Y12" s="20"/>
    </row>
    <row r="13" spans="1:26" s="11" customFormat="1" ht="38.25" customHeight="1">
      <c r="A13" s="8">
        <v>1</v>
      </c>
      <c r="B13" s="19" t="s">
        <v>143</v>
      </c>
      <c r="C13" s="12" t="s">
        <v>15</v>
      </c>
      <c r="D13" s="8">
        <v>6</v>
      </c>
      <c r="E13" s="35" t="s">
        <v>18</v>
      </c>
      <c r="F13" s="8" t="s">
        <v>144</v>
      </c>
      <c r="G13" s="8">
        <f>D13*(0.5+0.4)</f>
        <v>5.4</v>
      </c>
      <c r="H13" s="8" t="s">
        <v>32</v>
      </c>
      <c r="I13" s="141"/>
      <c r="J13" s="8"/>
      <c r="K13" s="8"/>
      <c r="L13" s="8"/>
      <c r="M13" s="134">
        <v>1</v>
      </c>
      <c r="N13" s="135"/>
      <c r="O13" s="129">
        <v>600</v>
      </c>
      <c r="P13" s="145">
        <f t="shared" ref="P13:P27" si="0">O13*G13</f>
        <v>3240</v>
      </c>
      <c r="Q13" s="20"/>
      <c r="R13" s="20"/>
      <c r="S13" s="20"/>
      <c r="T13" s="20"/>
      <c r="U13" s="20"/>
      <c r="V13" s="143" t="s">
        <v>178</v>
      </c>
      <c r="X13" s="76"/>
      <c r="Y13" s="20"/>
    </row>
    <row r="14" spans="1:26" s="11" customFormat="1">
      <c r="A14" s="8"/>
      <c r="B14" s="19"/>
      <c r="C14" s="12"/>
      <c r="D14" s="8"/>
      <c r="E14" s="35" t="s">
        <v>28</v>
      </c>
      <c r="F14" s="8" t="s">
        <v>15</v>
      </c>
      <c r="G14" s="8">
        <f>D13*4</f>
        <v>24</v>
      </c>
      <c r="H14" s="8" t="s">
        <v>33</v>
      </c>
      <c r="I14" s="8"/>
      <c r="J14" s="8"/>
      <c r="K14" s="8"/>
      <c r="L14" s="8"/>
      <c r="M14" s="20">
        <v>1</v>
      </c>
      <c r="N14" s="20"/>
      <c r="O14" s="8">
        <v>0.8</v>
      </c>
      <c r="P14" s="8">
        <f t="shared" si="0"/>
        <v>19.200000000000003</v>
      </c>
      <c r="Q14" s="20"/>
      <c r="R14" s="20"/>
      <c r="S14" s="20"/>
      <c r="T14" s="20"/>
      <c r="U14" s="20"/>
      <c r="V14" s="36"/>
      <c r="X14" s="37"/>
      <c r="Y14" s="20"/>
    </row>
    <row r="15" spans="1:26" s="11" customFormat="1">
      <c r="A15" s="8"/>
      <c r="B15" s="19"/>
      <c r="C15" s="12"/>
      <c r="D15" s="8"/>
      <c r="E15" s="165" t="s">
        <v>19</v>
      </c>
      <c r="F15" s="8" t="s">
        <v>15</v>
      </c>
      <c r="G15" s="8">
        <f>D13*4</f>
        <v>24</v>
      </c>
      <c r="H15" s="8" t="s">
        <v>32</v>
      </c>
      <c r="I15" s="8"/>
      <c r="J15" s="8"/>
      <c r="K15" s="8"/>
      <c r="L15" s="8"/>
      <c r="M15" s="20">
        <v>1</v>
      </c>
      <c r="N15" s="20"/>
      <c r="O15" s="8">
        <v>0.47</v>
      </c>
      <c r="P15" s="8">
        <f t="shared" si="0"/>
        <v>11.28</v>
      </c>
      <c r="Q15" s="20"/>
      <c r="R15" s="20"/>
      <c r="S15" s="20"/>
      <c r="T15" s="20"/>
      <c r="U15" s="20"/>
      <c r="V15" s="36"/>
      <c r="X15" s="38"/>
      <c r="Y15" s="20"/>
    </row>
    <row r="16" spans="1:26" s="11" customFormat="1" ht="38.25" hidden="1" outlineLevel="1">
      <c r="A16" s="8">
        <v>2</v>
      </c>
      <c r="B16" s="19" t="s">
        <v>145</v>
      </c>
      <c r="C16" s="12" t="s">
        <v>15</v>
      </c>
      <c r="D16" s="8">
        <v>0</v>
      </c>
      <c r="E16" s="35" t="s">
        <v>18</v>
      </c>
      <c r="F16" s="8" t="s">
        <v>15</v>
      </c>
      <c r="G16" s="8">
        <f>D16*0.5</f>
        <v>0</v>
      </c>
      <c r="H16" s="8" t="s">
        <v>32</v>
      </c>
      <c r="I16" s="141"/>
      <c r="J16" s="8"/>
      <c r="K16" s="8"/>
      <c r="L16" s="8"/>
      <c r="M16" s="20">
        <v>1</v>
      </c>
      <c r="N16" s="20"/>
      <c r="O16" s="8">
        <v>600</v>
      </c>
      <c r="P16" s="8">
        <f t="shared" si="0"/>
        <v>0</v>
      </c>
      <c r="Q16" s="20"/>
      <c r="R16" s="20"/>
      <c r="S16" s="20"/>
      <c r="T16" s="20"/>
      <c r="U16" s="20"/>
      <c r="V16" s="143" t="s">
        <v>178</v>
      </c>
      <c r="X16" s="38"/>
      <c r="Y16" s="20"/>
    </row>
    <row r="17" spans="1:27" s="11" customFormat="1" hidden="1" outlineLevel="1">
      <c r="A17" s="8"/>
      <c r="B17" s="19"/>
      <c r="C17" s="12"/>
      <c r="D17" s="8"/>
      <c r="E17" s="35" t="s">
        <v>28</v>
      </c>
      <c r="F17" s="8" t="s">
        <v>15</v>
      </c>
      <c r="G17" s="8">
        <f>D16*4</f>
        <v>0</v>
      </c>
      <c r="H17" s="8" t="s">
        <v>33</v>
      </c>
      <c r="I17" s="141"/>
      <c r="J17" s="8"/>
      <c r="K17" s="8"/>
      <c r="L17" s="8"/>
      <c r="M17" s="20">
        <v>1</v>
      </c>
      <c r="N17" s="20"/>
      <c r="O17" s="8">
        <v>0.8</v>
      </c>
      <c r="P17" s="8">
        <f t="shared" si="0"/>
        <v>0</v>
      </c>
      <c r="Q17" s="20"/>
      <c r="R17" s="20"/>
      <c r="S17" s="20"/>
      <c r="T17" s="20"/>
      <c r="U17" s="20"/>
      <c r="V17" s="38"/>
      <c r="X17" s="38"/>
      <c r="Y17" s="20"/>
    </row>
    <row r="18" spans="1:27" s="11" customFormat="1" hidden="1" outlineLevel="1">
      <c r="A18" s="8"/>
      <c r="B18" s="19"/>
      <c r="C18" s="12"/>
      <c r="D18" s="8"/>
      <c r="E18" s="165" t="s">
        <v>19</v>
      </c>
      <c r="F18" s="8" t="s">
        <v>15</v>
      </c>
      <c r="G18" s="8">
        <f>D16*4</f>
        <v>0</v>
      </c>
      <c r="H18" s="8" t="s">
        <v>32</v>
      </c>
      <c r="I18" s="8"/>
      <c r="J18" s="8"/>
      <c r="K18" s="8"/>
      <c r="L18" s="8"/>
      <c r="M18" s="20">
        <v>1</v>
      </c>
      <c r="N18" s="20"/>
      <c r="O18" s="8">
        <v>0.47</v>
      </c>
      <c r="P18" s="8">
        <f t="shared" si="0"/>
        <v>0</v>
      </c>
      <c r="Q18" s="20"/>
      <c r="R18" s="20"/>
      <c r="S18" s="20"/>
      <c r="T18" s="20"/>
      <c r="U18" s="20"/>
      <c r="V18" s="38"/>
      <c r="X18" s="38"/>
      <c r="Y18" s="20"/>
    </row>
    <row r="19" spans="1:27" s="11" customFormat="1" ht="38.25" collapsed="1">
      <c r="A19" s="8">
        <v>2</v>
      </c>
      <c r="B19" s="19" t="s">
        <v>146</v>
      </c>
      <c r="C19" s="12" t="s">
        <v>15</v>
      </c>
      <c r="D19" s="8">
        <v>31</v>
      </c>
      <c r="E19" s="35" t="s">
        <v>18</v>
      </c>
      <c r="F19" s="8" t="s">
        <v>144</v>
      </c>
      <c r="G19" s="8">
        <f>D19*0.5</f>
        <v>15.5</v>
      </c>
      <c r="H19" s="8" t="s">
        <v>32</v>
      </c>
      <c r="I19" s="141"/>
      <c r="J19" s="8"/>
      <c r="K19" s="8"/>
      <c r="L19" s="8"/>
      <c r="M19" s="134">
        <v>1</v>
      </c>
      <c r="N19" s="135"/>
      <c r="O19" s="129">
        <v>600</v>
      </c>
      <c r="P19" s="145">
        <f t="shared" si="0"/>
        <v>9300</v>
      </c>
      <c r="Q19" s="20"/>
      <c r="R19" s="20"/>
      <c r="S19" s="20"/>
      <c r="T19" s="20"/>
      <c r="U19" s="20"/>
      <c r="V19" s="143" t="s">
        <v>178</v>
      </c>
      <c r="X19" s="38"/>
      <c r="Y19" s="20"/>
    </row>
    <row r="20" spans="1:27" s="11" customFormat="1">
      <c r="A20" s="8"/>
      <c r="B20" s="19"/>
      <c r="C20" s="12"/>
      <c r="D20" s="8"/>
      <c r="E20" s="35" t="s">
        <v>28</v>
      </c>
      <c r="F20" s="8" t="s">
        <v>15</v>
      </c>
      <c r="G20" s="8">
        <f>D19*4</f>
        <v>124</v>
      </c>
      <c r="H20" s="8" t="s">
        <v>33</v>
      </c>
      <c r="I20" s="8"/>
      <c r="J20" s="8"/>
      <c r="K20" s="8"/>
      <c r="L20" s="8"/>
      <c r="M20" s="20">
        <v>1</v>
      </c>
      <c r="N20" s="20"/>
      <c r="O20" s="8">
        <v>0.8</v>
      </c>
      <c r="P20" s="8">
        <f t="shared" si="0"/>
        <v>99.2</v>
      </c>
      <c r="Q20" s="20"/>
      <c r="R20" s="20"/>
      <c r="S20" s="20"/>
      <c r="T20" s="20"/>
      <c r="U20" s="20"/>
      <c r="V20" s="38"/>
      <c r="X20" s="38"/>
      <c r="Y20" s="20"/>
    </row>
    <row r="21" spans="1:27" s="11" customFormat="1">
      <c r="A21" s="8"/>
      <c r="B21" s="19"/>
      <c r="C21" s="12"/>
      <c r="D21" s="8"/>
      <c r="E21" s="165" t="s">
        <v>19</v>
      </c>
      <c r="F21" s="8" t="s">
        <v>15</v>
      </c>
      <c r="G21" s="8">
        <f>D19*4</f>
        <v>124</v>
      </c>
      <c r="H21" s="8" t="s">
        <v>32</v>
      </c>
      <c r="I21" s="8"/>
      <c r="J21" s="8"/>
      <c r="K21" s="8"/>
      <c r="L21" s="8"/>
      <c r="M21" s="20">
        <v>1</v>
      </c>
      <c r="N21" s="20"/>
      <c r="O21" s="8">
        <v>0.47</v>
      </c>
      <c r="P21" s="8">
        <f t="shared" si="0"/>
        <v>58.279999999999994</v>
      </c>
      <c r="Q21" s="20"/>
      <c r="R21" s="20"/>
      <c r="S21" s="20"/>
      <c r="T21" s="20"/>
      <c r="U21" s="20"/>
      <c r="V21" s="38"/>
      <c r="X21" s="38"/>
      <c r="Y21" s="20"/>
    </row>
    <row r="22" spans="1:27" s="11" customFormat="1">
      <c r="A22" s="8"/>
      <c r="B22" s="19"/>
      <c r="C22" s="12"/>
      <c r="D22" s="8"/>
      <c r="E22" s="166" t="s">
        <v>98</v>
      </c>
      <c r="F22" s="8" t="s">
        <v>15</v>
      </c>
      <c r="G22" s="8">
        <f>D19</f>
        <v>31</v>
      </c>
      <c r="H22" s="8" t="s">
        <v>32</v>
      </c>
      <c r="I22" s="8"/>
      <c r="J22" s="8"/>
      <c r="K22" s="8"/>
      <c r="L22" s="8"/>
      <c r="M22" s="136">
        <v>1</v>
      </c>
      <c r="N22" s="136"/>
      <c r="O22" s="128">
        <v>250</v>
      </c>
      <c r="P22" s="129">
        <f t="shared" si="0"/>
        <v>7750</v>
      </c>
      <c r="Q22" s="20"/>
      <c r="R22" s="20"/>
      <c r="S22" s="20"/>
      <c r="T22" s="20"/>
      <c r="U22" s="20"/>
      <c r="V22" s="144" t="s">
        <v>179</v>
      </c>
      <c r="X22" s="38"/>
      <c r="Y22" s="20"/>
    </row>
    <row r="23" spans="1:27" s="11" customFormat="1" ht="51">
      <c r="A23" s="8">
        <v>3</v>
      </c>
      <c r="B23" s="35" t="s">
        <v>20</v>
      </c>
      <c r="C23" s="12" t="s">
        <v>15</v>
      </c>
      <c r="D23" s="8">
        <v>28</v>
      </c>
      <c r="E23" s="102" t="s">
        <v>34</v>
      </c>
      <c r="F23" s="8" t="s">
        <v>170</v>
      </c>
      <c r="G23" s="127">
        <f>D23*15*2</f>
        <v>840</v>
      </c>
      <c r="H23" s="8" t="s">
        <v>33</v>
      </c>
      <c r="I23" s="142"/>
      <c r="J23" s="8"/>
      <c r="K23" s="8"/>
      <c r="L23" s="8"/>
      <c r="M23" s="20">
        <v>1</v>
      </c>
      <c r="N23" s="20"/>
      <c r="O23" s="145">
        <f>68/1000</f>
        <v>6.8000000000000005E-2</v>
      </c>
      <c r="P23" s="127">
        <f t="shared" si="0"/>
        <v>57.120000000000005</v>
      </c>
      <c r="Q23" s="20"/>
      <c r="R23" s="20"/>
      <c r="S23" s="20"/>
      <c r="T23" s="20"/>
      <c r="U23" s="20"/>
      <c r="V23" s="146" t="s">
        <v>180</v>
      </c>
      <c r="X23" s="38"/>
      <c r="Y23" s="20"/>
    </row>
    <row r="24" spans="1:27" s="11" customFormat="1">
      <c r="A24" s="8">
        <v>4</v>
      </c>
      <c r="B24" s="35" t="s">
        <v>117</v>
      </c>
      <c r="C24" s="12" t="s">
        <v>15</v>
      </c>
      <c r="D24" s="8">
        <f>+D23</f>
        <v>28</v>
      </c>
      <c r="E24" s="102" t="s">
        <v>30</v>
      </c>
      <c r="F24" s="8" t="s">
        <v>15</v>
      </c>
      <c r="G24" s="8">
        <f>D24</f>
        <v>28</v>
      </c>
      <c r="H24" s="167" t="s">
        <v>208</v>
      </c>
      <c r="I24" s="102"/>
      <c r="J24" s="8"/>
      <c r="K24" s="8"/>
      <c r="L24" s="8"/>
      <c r="M24" s="20">
        <v>1</v>
      </c>
      <c r="N24" s="20"/>
      <c r="O24" s="8"/>
      <c r="P24" s="127">
        <f t="shared" si="0"/>
        <v>0</v>
      </c>
      <c r="Q24" s="20"/>
      <c r="R24" s="20"/>
      <c r="S24" s="20"/>
      <c r="T24" s="20"/>
      <c r="U24" s="20"/>
      <c r="V24" s="38"/>
      <c r="X24" s="38"/>
      <c r="Y24" s="20"/>
    </row>
    <row r="25" spans="1:27" s="11" customFormat="1" ht="51">
      <c r="A25" s="8">
        <v>5</v>
      </c>
      <c r="B25" s="35" t="s">
        <v>29</v>
      </c>
      <c r="C25" s="12" t="s">
        <v>15</v>
      </c>
      <c r="D25" s="8">
        <v>3</v>
      </c>
      <c r="E25" s="102" t="s">
        <v>34</v>
      </c>
      <c r="F25" s="8" t="s">
        <v>170</v>
      </c>
      <c r="G25" s="127">
        <f>D25*15*4</f>
        <v>180</v>
      </c>
      <c r="H25" s="8" t="s">
        <v>33</v>
      </c>
      <c r="I25" s="142"/>
      <c r="J25" s="8"/>
      <c r="K25" s="8"/>
      <c r="L25" s="8"/>
      <c r="M25" s="20">
        <v>1</v>
      </c>
      <c r="N25" s="20"/>
      <c r="O25" s="145">
        <f>68/1000</f>
        <v>6.8000000000000005E-2</v>
      </c>
      <c r="P25" s="127">
        <f t="shared" si="0"/>
        <v>12.24</v>
      </c>
      <c r="Q25" s="20"/>
      <c r="R25" s="20"/>
      <c r="S25" s="20"/>
      <c r="T25" s="20"/>
      <c r="U25" s="20"/>
      <c r="V25" s="146" t="s">
        <v>181</v>
      </c>
      <c r="X25" s="38"/>
      <c r="Y25" s="20"/>
    </row>
    <row r="26" spans="1:27" s="11" customFormat="1">
      <c r="A26" s="8">
        <v>6</v>
      </c>
      <c r="B26" s="35" t="s">
        <v>117</v>
      </c>
      <c r="C26" s="12" t="s">
        <v>15</v>
      </c>
      <c r="D26" s="8">
        <f>+D25*3</f>
        <v>9</v>
      </c>
      <c r="E26" s="102" t="s">
        <v>30</v>
      </c>
      <c r="F26" s="8" t="s">
        <v>15</v>
      </c>
      <c r="G26" s="8">
        <f>D26</f>
        <v>9</v>
      </c>
      <c r="H26" s="167" t="s">
        <v>208</v>
      </c>
      <c r="I26" s="102"/>
      <c r="J26" s="8"/>
      <c r="K26" s="8"/>
      <c r="L26" s="8"/>
      <c r="M26" s="20">
        <v>1</v>
      </c>
      <c r="N26" s="20"/>
      <c r="O26" s="8"/>
      <c r="P26" s="127">
        <f t="shared" si="0"/>
        <v>0</v>
      </c>
      <c r="Q26" s="20"/>
      <c r="R26" s="20"/>
      <c r="S26" s="20"/>
      <c r="T26" s="20"/>
      <c r="U26" s="20"/>
      <c r="V26" s="20"/>
      <c r="X26" s="38"/>
      <c r="Y26" s="20"/>
      <c r="AA26" s="11">
        <f>+Z26*D26</f>
        <v>0</v>
      </c>
    </row>
    <row r="27" spans="1:27" s="11" customFormat="1" ht="38.25">
      <c r="A27" s="8">
        <v>7</v>
      </c>
      <c r="B27" s="19" t="s">
        <v>24</v>
      </c>
      <c r="C27" s="12" t="s">
        <v>26</v>
      </c>
      <c r="D27" s="8">
        <v>1.968</v>
      </c>
      <c r="E27" s="102" t="s">
        <v>35</v>
      </c>
      <c r="F27" s="8" t="s">
        <v>14</v>
      </c>
      <c r="G27" s="168">
        <f>D27</f>
        <v>1.968</v>
      </c>
      <c r="H27" s="8" t="s">
        <v>33</v>
      </c>
      <c r="I27" s="8"/>
      <c r="J27" s="8"/>
      <c r="K27" s="8"/>
      <c r="L27" s="8"/>
      <c r="M27" s="20">
        <v>1</v>
      </c>
      <c r="N27" s="20"/>
      <c r="O27" s="147">
        <v>94</v>
      </c>
      <c r="P27" s="127">
        <f t="shared" si="0"/>
        <v>184.99199999999999</v>
      </c>
      <c r="Q27" s="20"/>
      <c r="R27" s="20"/>
      <c r="S27" s="20"/>
      <c r="T27" s="20"/>
      <c r="U27" s="20"/>
      <c r="V27" s="146" t="s">
        <v>182</v>
      </c>
      <c r="W27" s="148" t="s">
        <v>183</v>
      </c>
      <c r="X27" s="38"/>
      <c r="Y27" s="71" t="s">
        <v>82</v>
      </c>
      <c r="Z27" s="17">
        <v>4568.4367375999991</v>
      </c>
      <c r="AA27" s="11">
        <f>+Z27*D27/1000</f>
        <v>8.9906834995967984</v>
      </c>
    </row>
    <row r="28" spans="1:27" s="17" customFormat="1" ht="25.5">
      <c r="A28" s="12">
        <v>8</v>
      </c>
      <c r="B28" s="35" t="s">
        <v>184</v>
      </c>
      <c r="C28" s="12" t="s">
        <v>14</v>
      </c>
      <c r="D28" s="64">
        <f>D27/4</f>
        <v>0.49199999999999999</v>
      </c>
      <c r="E28" s="8"/>
      <c r="F28" s="8"/>
      <c r="G28" s="8"/>
      <c r="H28" s="8"/>
      <c r="I28" s="169" t="s">
        <v>58</v>
      </c>
      <c r="J28" s="8" t="s">
        <v>14</v>
      </c>
      <c r="K28" s="22">
        <f>D28*1.02</f>
        <v>0.50183999999999995</v>
      </c>
      <c r="L28" s="8" t="s">
        <v>142</v>
      </c>
      <c r="M28" s="126">
        <f>+K28/D28-1</f>
        <v>2.0000000000000018E-2</v>
      </c>
      <c r="N28" s="20">
        <v>1</v>
      </c>
      <c r="O28" s="128">
        <v>1093</v>
      </c>
      <c r="P28" s="20"/>
      <c r="Q28" s="20">
        <f t="shared" ref="Q28:Q38" si="1">O28*K28</f>
        <v>548.51111999999989</v>
      </c>
      <c r="R28" s="20">
        <f t="shared" ref="R28:R90" si="2">IF(N28=$R$12,Q28,0)</f>
        <v>548.51111999999989</v>
      </c>
      <c r="S28" s="20">
        <f t="shared" ref="S28:S90" si="3">IF(N28=$S$12,Q28,0)</f>
        <v>0</v>
      </c>
      <c r="T28" s="20">
        <f t="shared" ref="T28:T90" si="4">IF(N28=$T$12,Q28,0)</f>
        <v>0</v>
      </c>
      <c r="U28" s="20">
        <f t="shared" ref="U28:U90" si="5">IF(N28=$U$12,Q28,0)</f>
        <v>0</v>
      </c>
      <c r="V28" s="152" t="s">
        <v>185</v>
      </c>
      <c r="W28">
        <f>IF(ISNA(VLOOKUP(I28,Матер!$A$2:$C$85,3,0)),0,VLOOKUP(I28,Матер!$A$2:$C$85,3,0))</f>
        <v>190000</v>
      </c>
      <c r="X28"/>
      <c r="Y28" s="20"/>
      <c r="AA28" s="11">
        <f>+Z28*D28</f>
        <v>0</v>
      </c>
    </row>
    <row r="29" spans="1:27" s="17" customFormat="1">
      <c r="A29" s="12"/>
      <c r="B29" s="23"/>
      <c r="C29" s="8"/>
      <c r="D29" s="8"/>
      <c r="E29" s="8"/>
      <c r="F29" s="8"/>
      <c r="G29" s="8"/>
      <c r="H29" s="8"/>
      <c r="I29" s="169" t="s">
        <v>75</v>
      </c>
      <c r="J29" s="8" t="str">
        <f>IF(ISNA(VLOOKUP(I29,Матер!$A$2:$C$85,2,0)),0,VLOOKUP(I29,Матер!$A$2:$C$85,2,0))</f>
        <v>шт</v>
      </c>
      <c r="K29" s="10">
        <f>D19</f>
        <v>31</v>
      </c>
      <c r="L29" s="8" t="s">
        <v>142</v>
      </c>
      <c r="M29" s="20"/>
      <c r="N29" s="20">
        <v>1</v>
      </c>
      <c r="O29" s="20">
        <v>0.19</v>
      </c>
      <c r="P29" s="20"/>
      <c r="Q29" s="20">
        <f t="shared" si="1"/>
        <v>5.89</v>
      </c>
      <c r="R29" s="20">
        <f t="shared" si="2"/>
        <v>5.89</v>
      </c>
      <c r="S29" s="20">
        <f t="shared" si="3"/>
        <v>0</v>
      </c>
      <c r="T29" s="20">
        <f t="shared" si="4"/>
        <v>0</v>
      </c>
      <c r="U29" s="20">
        <f t="shared" si="5"/>
        <v>0</v>
      </c>
      <c r="V29" s="20"/>
      <c r="W29">
        <f>IF(ISNA(VLOOKUP(I29,Матер!$A$2:$C$85,3,0)),0,VLOOKUP(I29,Матер!$A$2:$C$85,3,0))</f>
        <v>350</v>
      </c>
      <c r="X29" t="e">
        <f>SUM(#REF!)</f>
        <v>#REF!</v>
      </c>
      <c r="Y29" s="20"/>
      <c r="AA29" s="11">
        <f>+Z29*D29</f>
        <v>0</v>
      </c>
    </row>
    <row r="30" spans="1:27" s="11" customFormat="1" ht="76.5">
      <c r="A30" s="8">
        <v>9</v>
      </c>
      <c r="B30" s="170" t="s">
        <v>209</v>
      </c>
      <c r="C30" s="12" t="s">
        <v>15</v>
      </c>
      <c r="D30" s="8">
        <f>D13</f>
        <v>6</v>
      </c>
      <c r="E30" s="23"/>
      <c r="F30" s="23"/>
      <c r="G30" s="8"/>
      <c r="H30" s="8"/>
      <c r="I30" s="169" t="s">
        <v>84</v>
      </c>
      <c r="J30" s="8" t="str">
        <f>IF(ISNA(VLOOKUP(I30,Матер!$A$2:$C$85,2,0)),0,VLOOKUP(I30,Матер!$A$2:$C$85,2,0))</f>
        <v>шт</v>
      </c>
      <c r="K30" s="8">
        <f>D30*2</f>
        <v>12</v>
      </c>
      <c r="L30" s="8" t="s">
        <v>141</v>
      </c>
      <c r="M30" s="20"/>
      <c r="N30" s="125">
        <v>1</v>
      </c>
      <c r="O30" s="125">
        <v>1180</v>
      </c>
      <c r="P30" s="125"/>
      <c r="Q30" s="125">
        <f t="shared" si="1"/>
        <v>14160</v>
      </c>
      <c r="R30" s="125">
        <f t="shared" si="2"/>
        <v>14160</v>
      </c>
      <c r="S30" s="125">
        <f t="shared" si="3"/>
        <v>0</v>
      </c>
      <c r="T30" s="125">
        <f t="shared" si="4"/>
        <v>0</v>
      </c>
      <c r="U30" s="125">
        <f t="shared" si="5"/>
        <v>0</v>
      </c>
      <c r="V30" s="20"/>
      <c r="W30">
        <f>IF(ISNA(VLOOKUP(I30,Матер!$A$2:$C$85,3,0)),0,VLOOKUP(I30,Матер!$A$2:$C$85,3,0))</f>
        <v>7800</v>
      </c>
      <c r="X30"/>
      <c r="Y30" s="71" t="s">
        <v>78</v>
      </c>
      <c r="Z30" s="17">
        <v>3095.25</v>
      </c>
      <c r="AA30" s="11">
        <f>+Z30*D30/1000</f>
        <v>18.5715</v>
      </c>
    </row>
    <row r="31" spans="1:27" s="11" customFormat="1">
      <c r="A31" s="8"/>
      <c r="B31" s="19"/>
      <c r="C31" s="12"/>
      <c r="D31" s="8"/>
      <c r="E31" s="23"/>
      <c r="F31" s="23"/>
      <c r="G31" s="8"/>
      <c r="H31" s="8"/>
      <c r="I31" s="169" t="s">
        <v>169</v>
      </c>
      <c r="J31" s="8" t="s">
        <v>15</v>
      </c>
      <c r="K31" s="8">
        <f>D30*1</f>
        <v>6</v>
      </c>
      <c r="L31" s="8" t="s">
        <v>142</v>
      </c>
      <c r="M31" s="20"/>
      <c r="N31" s="20">
        <v>1</v>
      </c>
      <c r="O31" s="149">
        <v>7</v>
      </c>
      <c r="P31" s="20"/>
      <c r="Q31" s="20">
        <f t="shared" si="1"/>
        <v>42</v>
      </c>
      <c r="R31" s="20">
        <f t="shared" si="2"/>
        <v>42</v>
      </c>
      <c r="S31" s="20">
        <f t="shared" si="3"/>
        <v>0</v>
      </c>
      <c r="T31" s="20">
        <f t="shared" si="4"/>
        <v>0</v>
      </c>
      <c r="U31" s="20">
        <f t="shared" si="5"/>
        <v>0</v>
      </c>
      <c r="V31" s="143" t="s">
        <v>178</v>
      </c>
      <c r="W31">
        <f>IF(ISNA(VLOOKUP(I31,Матер!$A$2:$C$85,3,0)),0,VLOOKUP(I31,Матер!$A$2:$C$85,3,0))</f>
        <v>0</v>
      </c>
      <c r="X31"/>
      <c r="Y31" s="20"/>
      <c r="AA31" s="11">
        <f>+Z31*D31</f>
        <v>0</v>
      </c>
    </row>
    <row r="32" spans="1:27" s="11" customFormat="1">
      <c r="A32" s="8"/>
      <c r="B32" s="19"/>
      <c r="C32" s="12"/>
      <c r="D32" s="8"/>
      <c r="E32" s="23"/>
      <c r="F32" s="23"/>
      <c r="G32" s="8"/>
      <c r="H32" s="8"/>
      <c r="I32" s="169" t="s">
        <v>86</v>
      </c>
      <c r="J32" s="8" t="str">
        <f>IF(ISNA(VLOOKUP(I32,Матер!$A$2:$C$85,2,0)),0,VLOOKUP(I32,Матер!$A$2:$C$85,2,0))</f>
        <v>шт</v>
      </c>
      <c r="K32" s="8">
        <f>+D30*2</f>
        <v>12</v>
      </c>
      <c r="L32" s="8" t="s">
        <v>142</v>
      </c>
      <c r="M32" s="20"/>
      <c r="N32" s="20">
        <v>1</v>
      </c>
      <c r="O32" s="20">
        <v>0.28999999999999998</v>
      </c>
      <c r="P32" s="20"/>
      <c r="Q32" s="20">
        <f t="shared" si="1"/>
        <v>3.4799999999999995</v>
      </c>
      <c r="R32" s="20">
        <f t="shared" si="2"/>
        <v>3.4799999999999995</v>
      </c>
      <c r="S32" s="20">
        <f t="shared" si="3"/>
        <v>0</v>
      </c>
      <c r="T32" s="20">
        <f t="shared" si="4"/>
        <v>0</v>
      </c>
      <c r="U32" s="20">
        <f t="shared" si="5"/>
        <v>0</v>
      </c>
      <c r="V32" s="20"/>
      <c r="W32">
        <f>IF(ISNA(VLOOKUP(I32,Матер!$A$2:$C$85,3,0)),0,VLOOKUP(I32,Матер!$A$2:$C$85,3,0))</f>
        <v>100</v>
      </c>
      <c r="X32"/>
      <c r="Y32" s="20"/>
      <c r="AA32" s="11">
        <f>+Z32*D32</f>
        <v>0</v>
      </c>
    </row>
    <row r="33" spans="1:27" s="11" customFormat="1">
      <c r="A33" s="8"/>
      <c r="B33" s="19"/>
      <c r="C33" s="12"/>
      <c r="D33" s="8"/>
      <c r="E33" s="23"/>
      <c r="F33" s="23"/>
      <c r="G33" s="8"/>
      <c r="H33" s="8"/>
      <c r="I33" s="169" t="s">
        <v>74</v>
      </c>
      <c r="J33" s="8" t="s">
        <v>171</v>
      </c>
      <c r="K33" s="8">
        <f>(D30*3/50*100)/100</f>
        <v>0.36</v>
      </c>
      <c r="L33" s="8" t="s">
        <v>142</v>
      </c>
      <c r="M33" s="20"/>
      <c r="N33" s="20">
        <v>1</v>
      </c>
      <c r="O33" s="20">
        <v>3.9</v>
      </c>
      <c r="P33" s="20"/>
      <c r="Q33" s="20">
        <f t="shared" si="1"/>
        <v>1.4039999999999999</v>
      </c>
      <c r="R33" s="20">
        <f t="shared" si="2"/>
        <v>1.4039999999999999</v>
      </c>
      <c r="S33" s="20">
        <f t="shared" si="3"/>
        <v>0</v>
      </c>
      <c r="T33" s="20">
        <f t="shared" si="4"/>
        <v>0</v>
      </c>
      <c r="U33" s="20">
        <f t="shared" si="5"/>
        <v>0</v>
      </c>
      <c r="V33" s="20"/>
      <c r="W33">
        <f>IF(ISNA(VLOOKUP(I33,Матер!$A$2:$C$85,3,0)),0,VLOOKUP(I33,Матер!$A$2:$C$85,3,0))</f>
        <v>1500</v>
      </c>
      <c r="X33"/>
      <c r="Y33" s="20"/>
    </row>
    <row r="34" spans="1:27" s="11" customFormat="1">
      <c r="A34" s="8"/>
      <c r="B34" s="8"/>
      <c r="C34" s="8"/>
      <c r="D34" s="8"/>
      <c r="E34" s="23"/>
      <c r="F34" s="23"/>
      <c r="G34" s="8"/>
      <c r="H34" s="8"/>
      <c r="I34" s="169" t="s">
        <v>89</v>
      </c>
      <c r="J34" s="8" t="s">
        <v>15</v>
      </c>
      <c r="K34" s="8">
        <f>D30*2</f>
        <v>12</v>
      </c>
      <c r="L34" s="8" t="s">
        <v>142</v>
      </c>
      <c r="M34" s="20"/>
      <c r="N34" s="20">
        <v>1</v>
      </c>
      <c r="O34" s="20">
        <v>0.02</v>
      </c>
      <c r="P34" s="20"/>
      <c r="Q34" s="20">
        <f t="shared" si="1"/>
        <v>0.24</v>
      </c>
      <c r="R34" s="20">
        <f t="shared" si="2"/>
        <v>0.24</v>
      </c>
      <c r="S34" s="20">
        <f t="shared" si="3"/>
        <v>0</v>
      </c>
      <c r="T34" s="20">
        <f t="shared" si="4"/>
        <v>0</v>
      </c>
      <c r="U34" s="20">
        <f t="shared" si="5"/>
        <v>0</v>
      </c>
      <c r="V34" s="20"/>
      <c r="W34">
        <f>IF(ISNA(VLOOKUP(I34,Матер!$A$2:$C$85,3,0)),0,VLOOKUP(I34,Матер!$A$2:$C$85,3,0))</f>
        <v>987.06</v>
      </c>
      <c r="X34"/>
      <c r="Y34" s="20"/>
      <c r="AA34" s="11">
        <f>+Z34*D34</f>
        <v>0</v>
      </c>
    </row>
    <row r="35" spans="1:27" s="11" customFormat="1">
      <c r="A35" s="8"/>
      <c r="B35" s="8"/>
      <c r="C35" s="8"/>
      <c r="D35" s="8"/>
      <c r="E35" s="23"/>
      <c r="F35" s="23"/>
      <c r="G35" s="8"/>
      <c r="H35" s="8"/>
      <c r="I35" s="169" t="s">
        <v>70</v>
      </c>
      <c r="J35" s="8" t="str">
        <f>IF(ISNA(VLOOKUP(I35,Матер!$A$2:$C$85,2,0)),0,VLOOKUP(I35,Матер!$A$2:$C$85,2,0))</f>
        <v>шт</v>
      </c>
      <c r="K35" s="12">
        <f>D30*4</f>
        <v>24</v>
      </c>
      <c r="L35" s="8" t="s">
        <v>142</v>
      </c>
      <c r="M35" s="20"/>
      <c r="N35" s="20">
        <v>1</v>
      </c>
      <c r="O35" s="20">
        <v>1.4999999999999999E-2</v>
      </c>
      <c r="P35" s="20"/>
      <c r="Q35" s="20">
        <f t="shared" si="1"/>
        <v>0.36</v>
      </c>
      <c r="R35" s="20">
        <f t="shared" si="2"/>
        <v>0.36</v>
      </c>
      <c r="S35" s="20">
        <f t="shared" si="3"/>
        <v>0</v>
      </c>
      <c r="T35" s="20">
        <f t="shared" si="4"/>
        <v>0</v>
      </c>
      <c r="U35" s="20">
        <f t="shared" si="5"/>
        <v>0</v>
      </c>
      <c r="V35" s="20"/>
      <c r="W35">
        <f>IF(ISNA(VLOOKUP(I35,Матер!$A$2:$C$85,3,0)),0,VLOOKUP(I35,Матер!$A$2:$C$85,3,0))</f>
        <v>3.5169999999999999</v>
      </c>
      <c r="X35"/>
      <c r="Y35" s="20"/>
      <c r="AA35" s="11">
        <f>+Z35*D35</f>
        <v>0</v>
      </c>
    </row>
    <row r="36" spans="1:27" s="11" customFormat="1">
      <c r="A36" s="8"/>
      <c r="B36" s="8"/>
      <c r="C36" s="8"/>
      <c r="D36" s="8"/>
      <c r="E36" s="23"/>
      <c r="F36" s="23"/>
      <c r="G36" s="8"/>
      <c r="H36" s="8"/>
      <c r="I36" s="169" t="s">
        <v>36</v>
      </c>
      <c r="J36" s="8" t="str">
        <f>IF(ISNA(VLOOKUP(I36,Матер!$A$2:$C$85,2,0)),0,VLOOKUP(I36,Матер!$A$2:$C$85,2,0))</f>
        <v>шт</v>
      </c>
      <c r="K36" s="12">
        <f>+D30*2</f>
        <v>12</v>
      </c>
      <c r="L36" s="8" t="s">
        <v>142</v>
      </c>
      <c r="M36" s="20"/>
      <c r="N36" s="20">
        <v>1</v>
      </c>
      <c r="O36" s="20">
        <v>0.46</v>
      </c>
      <c r="P36" s="20"/>
      <c r="Q36" s="20">
        <f t="shared" si="1"/>
        <v>5.5200000000000005</v>
      </c>
      <c r="R36" s="20">
        <f t="shared" si="2"/>
        <v>5.5200000000000005</v>
      </c>
      <c r="S36" s="20">
        <f t="shared" si="3"/>
        <v>0</v>
      </c>
      <c r="T36" s="20">
        <f t="shared" si="4"/>
        <v>0</v>
      </c>
      <c r="U36" s="20">
        <f t="shared" si="5"/>
        <v>0</v>
      </c>
      <c r="V36" s="20"/>
      <c r="W36">
        <f>IF(ISNA(VLOOKUP(I36,Матер!$A$2:$C$85,3,0)),0,VLOOKUP(I36,Матер!$A$2:$C$85,3,0))</f>
        <v>284.64</v>
      </c>
      <c r="X36"/>
      <c r="Y36" s="20"/>
      <c r="AA36" s="11">
        <f>+Z36*D36</f>
        <v>0</v>
      </c>
    </row>
    <row r="37" spans="1:27" s="11" customFormat="1" ht="25.5">
      <c r="A37" s="8"/>
      <c r="B37" s="8"/>
      <c r="C37" s="8"/>
      <c r="D37" s="8"/>
      <c r="E37" s="151"/>
      <c r="F37" s="151"/>
      <c r="G37" s="151"/>
      <c r="H37" s="151"/>
      <c r="I37" s="169" t="s">
        <v>92</v>
      </c>
      <c r="J37" s="8" t="str">
        <f>IF(ISNA(VLOOKUP(I37,Матер!$A$2:$C$85,2,0)),0,VLOOKUP(I37,Матер!$A$2:$C$85,2,0))</f>
        <v>кг</v>
      </c>
      <c r="K37" s="12">
        <f>+D30*8</f>
        <v>48</v>
      </c>
      <c r="L37" s="8" t="s">
        <v>142</v>
      </c>
      <c r="M37" s="20"/>
      <c r="N37" s="20">
        <v>3</v>
      </c>
      <c r="O37" s="149">
        <v>1</v>
      </c>
      <c r="P37" s="20"/>
      <c r="Q37" s="20">
        <f t="shared" si="1"/>
        <v>48</v>
      </c>
      <c r="R37" s="20">
        <f>IF(N37=$R$12,Q37,0)</f>
        <v>0</v>
      </c>
      <c r="S37" s="20">
        <f t="shared" si="3"/>
        <v>0</v>
      </c>
      <c r="T37" s="20">
        <f>IF(N37=$T$12,Q37,0)</f>
        <v>48</v>
      </c>
      <c r="U37" s="20">
        <f t="shared" si="5"/>
        <v>0</v>
      </c>
      <c r="V37" s="143" t="s">
        <v>178</v>
      </c>
      <c r="W37">
        <f>IF(ISNA(VLOOKUP(I37,Матер!$A$2:$C$85,3,0)),0,VLOOKUP(I37,Матер!$A$2:$C$85,3,0))</f>
        <v>80</v>
      </c>
      <c r="X37" t="e">
        <f>SUM(#REF!)</f>
        <v>#REF!</v>
      </c>
      <c r="Y37" s="20"/>
    </row>
    <row r="38" spans="1:27" s="11" customFormat="1">
      <c r="A38" s="8"/>
      <c r="B38" s="8"/>
      <c r="C38" s="8"/>
      <c r="D38" s="8"/>
      <c r="E38" s="23"/>
      <c r="F38" s="23"/>
      <c r="G38" s="8"/>
      <c r="H38" s="8"/>
      <c r="I38" s="169" t="s">
        <v>174</v>
      </c>
      <c r="J38" s="8" t="s">
        <v>16</v>
      </c>
      <c r="K38" s="12">
        <f>D30*0.4</f>
        <v>2.4000000000000004</v>
      </c>
      <c r="L38" s="8" t="s">
        <v>142</v>
      </c>
      <c r="M38" s="20"/>
      <c r="N38" s="20">
        <v>3</v>
      </c>
      <c r="O38" s="149">
        <v>1</v>
      </c>
      <c r="P38" s="20"/>
      <c r="Q38" s="20">
        <f t="shared" si="1"/>
        <v>2.4000000000000004</v>
      </c>
      <c r="R38" s="20">
        <f t="shared" si="2"/>
        <v>0</v>
      </c>
      <c r="S38" s="20">
        <f t="shared" si="3"/>
        <v>0</v>
      </c>
      <c r="T38" s="20">
        <f t="shared" si="4"/>
        <v>2.4000000000000004</v>
      </c>
      <c r="U38" s="20">
        <f t="shared" si="5"/>
        <v>0</v>
      </c>
      <c r="V38" s="143" t="s">
        <v>178</v>
      </c>
      <c r="W38"/>
      <c r="X38"/>
      <c r="Y38" s="20"/>
    </row>
    <row r="39" spans="1:27" s="11" customFormat="1">
      <c r="A39" s="8"/>
      <c r="B39" s="8"/>
      <c r="C39" s="8"/>
      <c r="D39" s="8"/>
      <c r="E39" s="23"/>
      <c r="F39" s="23"/>
      <c r="G39" s="8"/>
      <c r="H39" s="8"/>
      <c r="I39" s="169" t="s">
        <v>46</v>
      </c>
      <c r="J39" s="8" t="s">
        <v>16</v>
      </c>
      <c r="K39" s="171">
        <f>D30*9.5*0.257</f>
        <v>14.649000000000001</v>
      </c>
      <c r="L39" s="8" t="s">
        <v>142</v>
      </c>
      <c r="M39" s="20"/>
      <c r="N39" s="20">
        <v>1</v>
      </c>
      <c r="O39" s="20">
        <v>1</v>
      </c>
      <c r="P39" s="20"/>
      <c r="Q39" s="77">
        <f>O39*K39</f>
        <v>14.649000000000001</v>
      </c>
      <c r="R39" s="77">
        <f>IF(N39=$R$12,Q39,0)</f>
        <v>14.649000000000001</v>
      </c>
      <c r="S39" s="20">
        <f t="shared" si="3"/>
        <v>0</v>
      </c>
      <c r="T39" s="20">
        <f t="shared" si="4"/>
        <v>0</v>
      </c>
      <c r="U39" s="20">
        <f t="shared" si="5"/>
        <v>0</v>
      </c>
      <c r="V39" s="20"/>
      <c r="W39"/>
      <c r="X39"/>
      <c r="Y39" s="20"/>
    </row>
    <row r="40" spans="1:27" s="11" customFormat="1">
      <c r="A40" s="8"/>
      <c r="B40" s="8"/>
      <c r="C40" s="8"/>
      <c r="D40" s="8"/>
      <c r="E40" s="23"/>
      <c r="F40" s="23"/>
      <c r="G40" s="8"/>
      <c r="H40" s="8"/>
      <c r="I40" s="169" t="s">
        <v>49</v>
      </c>
      <c r="J40" s="8" t="s">
        <v>16</v>
      </c>
      <c r="K40" s="171">
        <f>D30*3*1.192</f>
        <v>21.456</v>
      </c>
      <c r="L40" s="8" t="s">
        <v>142</v>
      </c>
      <c r="M40" s="20"/>
      <c r="N40" s="20">
        <v>1</v>
      </c>
      <c r="O40" s="20">
        <v>1</v>
      </c>
      <c r="P40" s="20"/>
      <c r="Q40" s="77">
        <f>O40*K40</f>
        <v>21.456</v>
      </c>
      <c r="R40" s="77">
        <f t="shared" si="2"/>
        <v>21.456</v>
      </c>
      <c r="S40" s="20">
        <f t="shared" si="3"/>
        <v>0</v>
      </c>
      <c r="T40" s="20">
        <f t="shared" si="4"/>
        <v>0</v>
      </c>
      <c r="U40" s="20">
        <f t="shared" si="5"/>
        <v>0</v>
      </c>
      <c r="V40" s="20"/>
      <c r="W40"/>
      <c r="X40"/>
      <c r="Y40" s="20"/>
    </row>
    <row r="41" spans="1:27" s="11" customFormat="1">
      <c r="A41" s="8"/>
      <c r="B41" s="8"/>
      <c r="C41" s="8"/>
      <c r="D41" s="8"/>
      <c r="E41" s="23"/>
      <c r="F41" s="23"/>
      <c r="G41" s="8"/>
      <c r="H41" s="8"/>
      <c r="I41" s="169" t="s">
        <v>45</v>
      </c>
      <c r="J41" s="8" t="str">
        <f>IF(ISNA(VLOOKUP(I41,Матер!$A$2:$C$85,2,0)),0,VLOOKUP(I41,Матер!$A$2:$C$85,2,0))</f>
        <v>шт</v>
      </c>
      <c r="K41" s="21">
        <f>5*D30</f>
        <v>30</v>
      </c>
      <c r="L41" s="8" t="s">
        <v>142</v>
      </c>
      <c r="M41" s="20"/>
      <c r="N41" s="20">
        <v>1</v>
      </c>
      <c r="O41" s="20">
        <v>0.42</v>
      </c>
      <c r="P41" s="20"/>
      <c r="Q41" s="20">
        <f t="shared" ref="Q41:Q48" si="6">O41*K41</f>
        <v>12.6</v>
      </c>
      <c r="R41" s="20">
        <f t="shared" si="2"/>
        <v>12.6</v>
      </c>
      <c r="S41" s="20">
        <f t="shared" si="3"/>
        <v>0</v>
      </c>
      <c r="T41" s="20">
        <f t="shared" si="4"/>
        <v>0</v>
      </c>
      <c r="U41" s="20">
        <f t="shared" si="5"/>
        <v>0</v>
      </c>
      <c r="V41" s="20"/>
      <c r="W41"/>
      <c r="X41"/>
      <c r="Y41" s="20"/>
    </row>
    <row r="42" spans="1:27" s="11" customFormat="1">
      <c r="A42" s="8"/>
      <c r="B42" s="8"/>
      <c r="C42" s="8"/>
      <c r="D42" s="8"/>
      <c r="E42" s="23"/>
      <c r="F42" s="23"/>
      <c r="G42" s="8"/>
      <c r="H42" s="8"/>
      <c r="I42" s="169" t="s">
        <v>94</v>
      </c>
      <c r="J42" s="8" t="str">
        <f>IF(ISNA(VLOOKUP(I42,Матер!$A$2:$C$85,2,0)),0,VLOOKUP(I42,Матер!$A$2:$C$85,2,0))</f>
        <v>шт</v>
      </c>
      <c r="K42" s="21">
        <f>D30</f>
        <v>6</v>
      </c>
      <c r="L42" s="8" t="s">
        <v>142</v>
      </c>
      <c r="M42" s="20"/>
      <c r="N42" s="20">
        <v>1</v>
      </c>
      <c r="O42" s="20">
        <v>0.19</v>
      </c>
      <c r="P42" s="20"/>
      <c r="Q42" s="20">
        <f t="shared" si="6"/>
        <v>1.1400000000000001</v>
      </c>
      <c r="R42" s="20">
        <f t="shared" si="2"/>
        <v>1.1400000000000001</v>
      </c>
      <c r="S42" s="20">
        <f t="shared" si="3"/>
        <v>0</v>
      </c>
      <c r="T42" s="20">
        <f t="shared" si="4"/>
        <v>0</v>
      </c>
      <c r="U42" s="20">
        <f t="shared" si="5"/>
        <v>0</v>
      </c>
      <c r="V42" s="20"/>
      <c r="W42"/>
      <c r="X42"/>
      <c r="Y42" s="20"/>
    </row>
    <row r="43" spans="1:27" s="11" customFormat="1" ht="63.75">
      <c r="A43" s="12">
        <v>10</v>
      </c>
      <c r="B43" s="170" t="s">
        <v>210</v>
      </c>
      <c r="C43" s="12" t="s">
        <v>15</v>
      </c>
      <c r="D43" s="8">
        <f>D19</f>
        <v>31</v>
      </c>
      <c r="E43" s="23"/>
      <c r="F43" s="23"/>
      <c r="G43" s="8"/>
      <c r="H43" s="8"/>
      <c r="I43" s="169" t="s">
        <v>84</v>
      </c>
      <c r="J43" s="8" t="str">
        <f>IF(ISNA(VLOOKUP(I43,Матер!$A$2:$C$85,2,0)),0,VLOOKUP(I43,Матер!$A$2:$C$85,2,0))</f>
        <v>шт</v>
      </c>
      <c r="K43" s="12">
        <f>+D43</f>
        <v>31</v>
      </c>
      <c r="L43" s="8" t="s">
        <v>141</v>
      </c>
      <c r="M43" s="20"/>
      <c r="N43" s="125">
        <v>1</v>
      </c>
      <c r="O43" s="125">
        <v>1180</v>
      </c>
      <c r="P43" s="125"/>
      <c r="Q43" s="125">
        <f t="shared" si="6"/>
        <v>36580</v>
      </c>
      <c r="R43" s="125">
        <f t="shared" si="2"/>
        <v>36580</v>
      </c>
      <c r="S43" s="125">
        <f t="shared" si="3"/>
        <v>0</v>
      </c>
      <c r="T43" s="125">
        <f t="shared" si="4"/>
        <v>0</v>
      </c>
      <c r="U43" s="125">
        <f t="shared" si="5"/>
        <v>0</v>
      </c>
      <c r="V43" s="20"/>
      <c r="W43">
        <f>IF(ISNA(VLOOKUP(I43,Матер!$A$2:$C$85,3,0)),0,VLOOKUP(I43,Матер!$A$2:$C$85,3,0))</f>
        <v>7800</v>
      </c>
      <c r="X43"/>
      <c r="Y43" s="71" t="s">
        <v>77</v>
      </c>
      <c r="Z43" s="17">
        <v>1591</v>
      </c>
      <c r="AA43" s="11">
        <f>+Z43*D43/1000</f>
        <v>49.320999999999998</v>
      </c>
    </row>
    <row r="44" spans="1:27" s="11" customFormat="1">
      <c r="A44" s="12"/>
      <c r="B44" s="35"/>
      <c r="C44" s="12"/>
      <c r="D44" s="12"/>
      <c r="E44" s="23"/>
      <c r="F44" s="23"/>
      <c r="G44" s="8"/>
      <c r="H44" s="8"/>
      <c r="I44" s="169" t="s">
        <v>85</v>
      </c>
      <c r="J44" s="8" t="str">
        <f>IF(ISNA(VLOOKUP(I44,Матер!$A$2:$C$85,2,0)),0,VLOOKUP(I44,Матер!$A$2:$C$85,2,0))</f>
        <v>шт</v>
      </c>
      <c r="K44" s="12">
        <f>+D43</f>
        <v>31</v>
      </c>
      <c r="L44" s="8" t="s">
        <v>142</v>
      </c>
      <c r="M44" s="20"/>
      <c r="N44" s="20">
        <v>1</v>
      </c>
      <c r="O44" s="20">
        <v>0.65</v>
      </c>
      <c r="P44" s="20"/>
      <c r="Q44" s="20">
        <f t="shared" si="6"/>
        <v>20.150000000000002</v>
      </c>
      <c r="R44" s="20">
        <f t="shared" si="2"/>
        <v>20.150000000000002</v>
      </c>
      <c r="S44" s="20">
        <f t="shared" si="3"/>
        <v>0</v>
      </c>
      <c r="T44" s="20">
        <f t="shared" si="4"/>
        <v>0</v>
      </c>
      <c r="U44" s="20">
        <f t="shared" si="5"/>
        <v>0</v>
      </c>
      <c r="V44" s="20"/>
      <c r="W44">
        <f>IF(ISNA(VLOOKUP(I44,Матер!$A$2:$C$85,3,0)),0,VLOOKUP(I44,Матер!$A$2:$C$85,3,0))</f>
        <v>186.75</v>
      </c>
      <c r="X44"/>
      <c r="Y44" s="20"/>
      <c r="AA44" s="11">
        <f>+Z44*D44</f>
        <v>0</v>
      </c>
    </row>
    <row r="45" spans="1:27" s="11" customFormat="1">
      <c r="A45" s="12"/>
      <c r="B45" s="35"/>
      <c r="C45" s="12"/>
      <c r="D45" s="12"/>
      <c r="E45" s="23"/>
      <c r="F45" s="23"/>
      <c r="G45" s="8"/>
      <c r="H45" s="8"/>
      <c r="I45" s="169" t="s">
        <v>74</v>
      </c>
      <c r="J45" s="8" t="s">
        <v>171</v>
      </c>
      <c r="K45" s="8">
        <f>(D43*3/50*100)/100</f>
        <v>1.86</v>
      </c>
      <c r="L45" s="8" t="s">
        <v>142</v>
      </c>
      <c r="M45" s="20"/>
      <c r="N45" s="20">
        <v>1</v>
      </c>
      <c r="O45" s="20">
        <v>3.9</v>
      </c>
      <c r="P45" s="20"/>
      <c r="Q45" s="20">
        <f t="shared" si="6"/>
        <v>7.2540000000000004</v>
      </c>
      <c r="R45" s="20">
        <f t="shared" si="2"/>
        <v>7.2540000000000004</v>
      </c>
      <c r="S45" s="20">
        <f t="shared" si="3"/>
        <v>0</v>
      </c>
      <c r="T45" s="20">
        <f t="shared" si="4"/>
        <v>0</v>
      </c>
      <c r="U45" s="20">
        <f t="shared" si="5"/>
        <v>0</v>
      </c>
      <c r="V45" s="20"/>
      <c r="W45">
        <f>IF(ISNA(VLOOKUP(I45,Матер!$A$2:$C$85,3,0)),0,VLOOKUP(I45,Матер!$A$2:$C$85,3,0))</f>
        <v>1500</v>
      </c>
      <c r="X45"/>
      <c r="Y45" s="20"/>
    </row>
    <row r="46" spans="1:27" s="11" customFormat="1">
      <c r="A46" s="12"/>
      <c r="B46" s="35"/>
      <c r="C46" s="12"/>
      <c r="D46" s="12"/>
      <c r="E46" s="23"/>
      <c r="F46" s="23"/>
      <c r="G46" s="8"/>
      <c r="H46" s="8"/>
      <c r="I46" s="169" t="s">
        <v>72</v>
      </c>
      <c r="J46" s="8" t="str">
        <f>IF(ISNA(VLOOKUP(I46,Матер!$A$2:$C$85,2,0)),0,VLOOKUP(I46,Матер!$A$2:$C$85,2,0))</f>
        <v>упак/100шт</v>
      </c>
      <c r="K46" s="8">
        <f>(D43*2)/100</f>
        <v>0.62</v>
      </c>
      <c r="L46" s="8" t="s">
        <v>142</v>
      </c>
      <c r="M46" s="20"/>
      <c r="N46" s="20">
        <v>1</v>
      </c>
      <c r="O46" s="20">
        <v>1</v>
      </c>
      <c r="P46" s="20"/>
      <c r="Q46" s="20">
        <f t="shared" si="6"/>
        <v>0.62</v>
      </c>
      <c r="R46" s="20">
        <f t="shared" si="2"/>
        <v>0.62</v>
      </c>
      <c r="S46" s="20">
        <f t="shared" si="3"/>
        <v>0</v>
      </c>
      <c r="T46" s="20">
        <f t="shared" si="4"/>
        <v>0</v>
      </c>
      <c r="U46" s="20">
        <f t="shared" si="5"/>
        <v>0</v>
      </c>
      <c r="V46" s="20"/>
      <c r="W46">
        <f>IF(ISNA(VLOOKUP(I46,Матер!$A$2:$C$85,3,0)),0,VLOOKUP(I46,Матер!$A$2:$C$85,3,0))</f>
        <v>600</v>
      </c>
      <c r="X46"/>
      <c r="Y46" s="20"/>
      <c r="AA46" s="11">
        <f>+Z46*D46</f>
        <v>0</v>
      </c>
    </row>
    <row r="47" spans="1:27" s="11" customFormat="1">
      <c r="A47" s="12"/>
      <c r="B47" s="35"/>
      <c r="C47" s="12"/>
      <c r="D47" s="12"/>
      <c r="E47" s="23"/>
      <c r="F47" s="23"/>
      <c r="G47" s="8"/>
      <c r="H47" s="8"/>
      <c r="I47" s="169" t="s">
        <v>70</v>
      </c>
      <c r="J47" s="8" t="str">
        <f>IF(ISNA(VLOOKUP(I47,Матер!$A$2:$C$85,2,0)),0,VLOOKUP(I47,Матер!$A$2:$C$85,2,0))</f>
        <v>шт</v>
      </c>
      <c r="K47" s="12">
        <f>+D43*4</f>
        <v>124</v>
      </c>
      <c r="L47" s="8" t="s">
        <v>142</v>
      </c>
      <c r="M47" s="20"/>
      <c r="N47" s="20">
        <v>1</v>
      </c>
      <c r="O47" s="20">
        <v>1.4999999999999999E-2</v>
      </c>
      <c r="P47" s="20"/>
      <c r="Q47" s="20">
        <f t="shared" si="6"/>
        <v>1.8599999999999999</v>
      </c>
      <c r="R47" s="20">
        <f t="shared" si="2"/>
        <v>1.8599999999999999</v>
      </c>
      <c r="S47" s="20">
        <f t="shared" si="3"/>
        <v>0</v>
      </c>
      <c r="T47" s="20">
        <f t="shared" si="4"/>
        <v>0</v>
      </c>
      <c r="U47" s="20">
        <f t="shared" si="5"/>
        <v>0</v>
      </c>
      <c r="V47" s="20"/>
      <c r="W47">
        <f>IF(ISNA(VLOOKUP(I47,Матер!$A$2:$C$85,3,0)),0,VLOOKUP(I47,Матер!$A$2:$C$85,3,0))</f>
        <v>3.5169999999999999</v>
      </c>
      <c r="X47"/>
      <c r="Y47" s="20"/>
      <c r="AA47" s="11">
        <f>+Z47*D47</f>
        <v>0</v>
      </c>
    </row>
    <row r="48" spans="1:27" s="11" customFormat="1">
      <c r="A48" s="12"/>
      <c r="B48" s="35"/>
      <c r="C48" s="12"/>
      <c r="D48" s="12"/>
      <c r="E48" s="23"/>
      <c r="F48" s="23"/>
      <c r="G48" s="8"/>
      <c r="H48" s="8"/>
      <c r="I48" s="169" t="s">
        <v>174</v>
      </c>
      <c r="J48" s="8" t="s">
        <v>16</v>
      </c>
      <c r="K48" s="12">
        <f>+D43*0.4</f>
        <v>12.4</v>
      </c>
      <c r="L48" s="8" t="s">
        <v>142</v>
      </c>
      <c r="M48" s="20"/>
      <c r="N48" s="20">
        <v>3</v>
      </c>
      <c r="O48" s="149">
        <v>1</v>
      </c>
      <c r="P48" s="20"/>
      <c r="Q48" s="20">
        <f t="shared" si="6"/>
        <v>12.4</v>
      </c>
      <c r="R48" s="20">
        <f t="shared" si="2"/>
        <v>0</v>
      </c>
      <c r="S48" s="20">
        <f t="shared" si="3"/>
        <v>0</v>
      </c>
      <c r="T48" s="20">
        <f t="shared" si="4"/>
        <v>12.4</v>
      </c>
      <c r="U48" s="20">
        <f t="shared" si="5"/>
        <v>0</v>
      </c>
      <c r="V48" s="143" t="s">
        <v>178</v>
      </c>
      <c r="W48">
        <f>IF(ISNA(VLOOKUP(I48,Матер!$A$2:$C$85,3,0)),0,VLOOKUP(I48,Матер!$A$2:$C$85,3,0))</f>
        <v>0</v>
      </c>
      <c r="X48"/>
      <c r="Y48" s="20"/>
      <c r="AA48" s="11">
        <f>+Z48*D48</f>
        <v>0</v>
      </c>
    </row>
    <row r="49" spans="1:27" s="11" customFormat="1">
      <c r="A49" s="12"/>
      <c r="B49" s="35"/>
      <c r="C49" s="12"/>
      <c r="D49" s="12"/>
      <c r="E49" s="23"/>
      <c r="F49" s="23"/>
      <c r="G49" s="8"/>
      <c r="H49" s="8"/>
      <c r="I49" s="169" t="s">
        <v>46</v>
      </c>
      <c r="J49" s="8" t="s">
        <v>16</v>
      </c>
      <c r="K49" s="171">
        <f>D43*9.5*0.257</f>
        <v>75.686499999999995</v>
      </c>
      <c r="L49" s="8" t="s">
        <v>142</v>
      </c>
      <c r="M49" s="20"/>
      <c r="N49" s="20">
        <v>1</v>
      </c>
      <c r="O49" s="20">
        <v>1</v>
      </c>
      <c r="P49" s="20"/>
      <c r="Q49" s="77">
        <f>O49*K49</f>
        <v>75.686499999999995</v>
      </c>
      <c r="R49" s="77">
        <f t="shared" si="2"/>
        <v>75.686499999999995</v>
      </c>
      <c r="S49" s="20">
        <f t="shared" si="3"/>
        <v>0</v>
      </c>
      <c r="T49" s="20">
        <f t="shared" si="4"/>
        <v>0</v>
      </c>
      <c r="U49" s="20">
        <f t="shared" si="5"/>
        <v>0</v>
      </c>
      <c r="V49" s="20"/>
      <c r="W49"/>
      <c r="X49"/>
      <c r="Y49" s="20"/>
    </row>
    <row r="50" spans="1:27" s="11" customFormat="1">
      <c r="A50" s="12"/>
      <c r="B50" s="35"/>
      <c r="C50" s="12"/>
      <c r="D50" s="12"/>
      <c r="E50" s="23"/>
      <c r="F50" s="23"/>
      <c r="G50" s="8"/>
      <c r="H50" s="8"/>
      <c r="I50" s="169" t="s">
        <v>49</v>
      </c>
      <c r="J50" s="8" t="s">
        <v>16</v>
      </c>
      <c r="K50" s="171">
        <f>D43*3*1.192</f>
        <v>110.85599999999999</v>
      </c>
      <c r="L50" s="8" t="s">
        <v>142</v>
      </c>
      <c r="M50" s="20"/>
      <c r="N50" s="20">
        <v>1</v>
      </c>
      <c r="O50" s="20">
        <v>1</v>
      </c>
      <c r="P50" s="20"/>
      <c r="Q50" s="77">
        <f>O50*K50</f>
        <v>110.85599999999999</v>
      </c>
      <c r="R50" s="77">
        <f t="shared" si="2"/>
        <v>110.85599999999999</v>
      </c>
      <c r="S50" s="20">
        <f t="shared" si="3"/>
        <v>0</v>
      </c>
      <c r="T50" s="20">
        <f t="shared" si="4"/>
        <v>0</v>
      </c>
      <c r="U50" s="20">
        <f t="shared" si="5"/>
        <v>0</v>
      </c>
      <c r="V50" s="20"/>
      <c r="W50"/>
      <c r="X50"/>
      <c r="Y50" s="20"/>
    </row>
    <row r="51" spans="1:27" s="11" customFormat="1">
      <c r="A51" s="12"/>
      <c r="B51" s="35"/>
      <c r="C51" s="12"/>
      <c r="D51" s="12"/>
      <c r="E51" s="23"/>
      <c r="F51" s="23"/>
      <c r="G51" s="8"/>
      <c r="H51" s="8"/>
      <c r="I51" s="169" t="s">
        <v>45</v>
      </c>
      <c r="J51" s="8" t="str">
        <f>IF(ISNA(VLOOKUP(I51,Матер!$A$2:$C$85,2,0)),0,VLOOKUP(I51,Матер!$A$2:$C$85,2,0))</f>
        <v>шт</v>
      </c>
      <c r="K51" s="21">
        <f>5*D43</f>
        <v>155</v>
      </c>
      <c r="L51" s="8" t="s">
        <v>142</v>
      </c>
      <c r="M51" s="20"/>
      <c r="N51" s="20">
        <v>1</v>
      </c>
      <c r="O51" s="20">
        <v>0.42</v>
      </c>
      <c r="P51" s="20"/>
      <c r="Q51" s="20">
        <f>O51*K51</f>
        <v>65.099999999999994</v>
      </c>
      <c r="R51" s="20">
        <f t="shared" si="2"/>
        <v>65.099999999999994</v>
      </c>
      <c r="S51" s="20">
        <f t="shared" si="3"/>
        <v>0</v>
      </c>
      <c r="T51" s="20">
        <f t="shared" si="4"/>
        <v>0</v>
      </c>
      <c r="U51" s="20">
        <f t="shared" si="5"/>
        <v>0</v>
      </c>
      <c r="V51" s="20"/>
      <c r="W51"/>
      <c r="X51"/>
      <c r="Y51" s="20"/>
    </row>
    <row r="52" spans="1:27" s="11" customFormat="1">
      <c r="A52" s="12"/>
      <c r="B52" s="35"/>
      <c r="C52" s="12"/>
      <c r="D52" s="12"/>
      <c r="E52" s="23"/>
      <c r="F52" s="23"/>
      <c r="G52" s="8"/>
      <c r="H52" s="8"/>
      <c r="I52" s="169" t="s">
        <v>94</v>
      </c>
      <c r="J52" s="8" t="str">
        <f>IF(ISNA(VLOOKUP(I52,Матер!$A$2:$C$85,2,0)),0,VLOOKUP(I52,Матер!$A$2:$C$85,2,0))</f>
        <v>шт</v>
      </c>
      <c r="K52" s="21">
        <f>D43</f>
        <v>31</v>
      </c>
      <c r="L52" s="8" t="s">
        <v>142</v>
      </c>
      <c r="M52" s="20"/>
      <c r="N52" s="20">
        <v>1</v>
      </c>
      <c r="O52" s="20">
        <v>0.19</v>
      </c>
      <c r="P52" s="20"/>
      <c r="Q52" s="20">
        <f>O52*K52</f>
        <v>5.89</v>
      </c>
      <c r="R52" s="20">
        <f t="shared" si="2"/>
        <v>5.89</v>
      </c>
      <c r="S52" s="20">
        <f t="shared" si="3"/>
        <v>0</v>
      </c>
      <c r="T52" s="20">
        <f t="shared" si="4"/>
        <v>0</v>
      </c>
      <c r="U52" s="20">
        <f t="shared" si="5"/>
        <v>0</v>
      </c>
      <c r="V52" s="20"/>
      <c r="W52"/>
      <c r="X52"/>
      <c r="Y52" s="20"/>
    </row>
    <row r="53" spans="1:27" s="11" customFormat="1" ht="25.5">
      <c r="A53" s="12"/>
      <c r="B53" s="35"/>
      <c r="C53" s="12"/>
      <c r="D53" s="12"/>
      <c r="E53" s="23"/>
      <c r="F53" s="23"/>
      <c r="G53" s="8"/>
      <c r="H53" s="8"/>
      <c r="I53" s="169" t="s">
        <v>92</v>
      </c>
      <c r="J53" s="8" t="str">
        <f>IF(ISNA(VLOOKUP(I53,Матер!$A$2:$C$85,2,0)),0,VLOOKUP(I53,Матер!$A$2:$C$85,2,0))</f>
        <v>кг</v>
      </c>
      <c r="K53" s="12">
        <f>+D43*4</f>
        <v>124</v>
      </c>
      <c r="L53" s="8" t="s">
        <v>142</v>
      </c>
      <c r="M53" s="20"/>
      <c r="N53" s="20">
        <v>3</v>
      </c>
      <c r="O53" s="149">
        <v>1</v>
      </c>
      <c r="P53" s="20"/>
      <c r="Q53" s="20">
        <f>O53*K53</f>
        <v>124</v>
      </c>
      <c r="R53" s="20">
        <f t="shared" si="2"/>
        <v>0</v>
      </c>
      <c r="S53" s="20">
        <f t="shared" si="3"/>
        <v>0</v>
      </c>
      <c r="T53" s="20">
        <f t="shared" si="4"/>
        <v>124</v>
      </c>
      <c r="U53" s="20">
        <f t="shared" si="5"/>
        <v>0</v>
      </c>
      <c r="V53" s="143" t="s">
        <v>178</v>
      </c>
      <c r="W53"/>
      <c r="X53"/>
      <c r="Y53" s="20"/>
    </row>
    <row r="54" spans="1:27" s="11" customFormat="1" ht="25.5" hidden="1" outlineLevel="1">
      <c r="A54" s="12">
        <v>10</v>
      </c>
      <c r="B54" s="19" t="s">
        <v>96</v>
      </c>
      <c r="C54" s="12" t="s">
        <v>15</v>
      </c>
      <c r="D54" s="8">
        <v>0</v>
      </c>
      <c r="E54" s="23"/>
      <c r="F54" s="23"/>
      <c r="G54" s="8"/>
      <c r="H54" s="8"/>
      <c r="I54" s="169" t="s">
        <v>84</v>
      </c>
      <c r="J54" s="8" t="str">
        <f>IF(ISNA(VLOOKUP(I54,Матер!$A$2:$C$85,2,0)),0,VLOOKUP(I54,Матер!$A$2:$C$85,2,0))</f>
        <v>шт</v>
      </c>
      <c r="K54" s="12">
        <f>+D54</f>
        <v>0</v>
      </c>
      <c r="L54" s="8"/>
      <c r="M54" s="20"/>
      <c r="N54" s="20"/>
      <c r="O54" s="20"/>
      <c r="P54" s="20"/>
      <c r="Q54" s="20">
        <f t="shared" ref="Q54:Q78" si="7">O54*K54</f>
        <v>0</v>
      </c>
      <c r="R54" s="20">
        <f t="shared" si="2"/>
        <v>0</v>
      </c>
      <c r="S54" s="20">
        <f t="shared" si="3"/>
        <v>0</v>
      </c>
      <c r="T54" s="20">
        <f t="shared" si="4"/>
        <v>0</v>
      </c>
      <c r="U54" s="20">
        <f t="shared" si="5"/>
        <v>0</v>
      </c>
      <c r="V54" s="20"/>
      <c r="W54">
        <f>IF(ISNA(VLOOKUP(I54,Матер!$A$2:$C$85,3,0)),0,VLOOKUP(I54,Матер!$A$2:$C$85,3,0))</f>
        <v>7800</v>
      </c>
      <c r="X54"/>
      <c r="Y54" s="71" t="s">
        <v>77</v>
      </c>
      <c r="Z54" s="17">
        <v>1591</v>
      </c>
      <c r="AA54" s="11">
        <f>+Z54*D54/1000</f>
        <v>0</v>
      </c>
    </row>
    <row r="55" spans="1:27" s="11" customFormat="1" hidden="1" outlineLevel="1">
      <c r="A55" s="12"/>
      <c r="B55" s="35"/>
      <c r="C55" s="12"/>
      <c r="D55" s="12"/>
      <c r="E55" s="23"/>
      <c r="F55" s="23"/>
      <c r="G55" s="8"/>
      <c r="H55" s="8"/>
      <c r="I55" s="169" t="s">
        <v>86</v>
      </c>
      <c r="J55" s="8" t="str">
        <f>IF(ISNA(VLOOKUP(I55,Матер!$A$2:$C$85,2,0)),0,VLOOKUP(I55,Матер!$A$2:$C$85,2,0))</f>
        <v>шт</v>
      </c>
      <c r="K55" s="12">
        <f>+D54</f>
        <v>0</v>
      </c>
      <c r="L55" s="8"/>
      <c r="M55" s="20"/>
      <c r="N55" s="20"/>
      <c r="O55" s="20"/>
      <c r="P55" s="20"/>
      <c r="Q55" s="20">
        <f t="shared" si="7"/>
        <v>0</v>
      </c>
      <c r="R55" s="20">
        <f t="shared" si="2"/>
        <v>0</v>
      </c>
      <c r="S55" s="20">
        <f t="shared" si="3"/>
        <v>0</v>
      </c>
      <c r="T55" s="20">
        <f t="shared" si="4"/>
        <v>0</v>
      </c>
      <c r="U55" s="20">
        <f t="shared" si="5"/>
        <v>0</v>
      </c>
      <c r="V55" s="20"/>
      <c r="W55">
        <f>IF(ISNA(VLOOKUP(I55,Матер!$A$2:$C$85,3,0)),0,VLOOKUP(I55,Матер!$A$2:$C$85,3,0))</f>
        <v>100</v>
      </c>
      <c r="X55"/>
      <c r="Y55" s="20"/>
      <c r="AA55" s="11">
        <f>+Z55*D55</f>
        <v>0</v>
      </c>
    </row>
    <row r="56" spans="1:27" s="11" customFormat="1" hidden="1" outlineLevel="1">
      <c r="A56" s="12"/>
      <c r="B56" s="35"/>
      <c r="C56" s="12"/>
      <c r="D56" s="12"/>
      <c r="E56" s="23"/>
      <c r="F56" s="23"/>
      <c r="G56" s="8"/>
      <c r="H56" s="8"/>
      <c r="I56" s="169" t="s">
        <v>38</v>
      </c>
      <c r="J56" s="8" t="str">
        <f>IF(ISNA(VLOOKUP(I56,Матер!$A$2:$C$85,2,0)),0,VLOOKUP(I56,Матер!$A$2:$C$85,2,0))</f>
        <v>шт</v>
      </c>
      <c r="K56" s="12">
        <f>+D54</f>
        <v>0</v>
      </c>
      <c r="L56" s="8"/>
      <c r="M56" s="20"/>
      <c r="N56" s="20"/>
      <c r="O56" s="20"/>
      <c r="P56" s="20"/>
      <c r="Q56" s="20">
        <f t="shared" si="7"/>
        <v>0</v>
      </c>
      <c r="R56" s="20">
        <f t="shared" si="2"/>
        <v>0</v>
      </c>
      <c r="S56" s="20">
        <f t="shared" si="3"/>
        <v>0</v>
      </c>
      <c r="T56" s="20">
        <f t="shared" si="4"/>
        <v>0</v>
      </c>
      <c r="U56" s="20">
        <f t="shared" si="5"/>
        <v>0</v>
      </c>
      <c r="V56" s="20"/>
      <c r="W56">
        <f>IF(ISNA(VLOOKUP(I56,Матер!$A$2:$C$85,3,0)),0,VLOOKUP(I56,Матер!$A$2:$C$85,3,0))</f>
        <v>66.81</v>
      </c>
      <c r="X56"/>
      <c r="Y56" s="20"/>
    </row>
    <row r="57" spans="1:27" s="11" customFormat="1" hidden="1" outlineLevel="1">
      <c r="A57" s="12"/>
      <c r="B57" s="35"/>
      <c r="C57" s="12"/>
      <c r="D57" s="12"/>
      <c r="E57" s="23"/>
      <c r="F57" s="23"/>
      <c r="G57" s="8"/>
      <c r="H57" s="8"/>
      <c r="I57" s="169" t="s">
        <v>74</v>
      </c>
      <c r="J57" s="8" t="str">
        <f>IF(ISNA(VLOOKUP(I57,Матер!$A$2:$C$85,2,0)),0,VLOOKUP(I57,Матер!$A$2:$C$85,2,0))</f>
        <v>упак/50м</v>
      </c>
      <c r="K57" s="8">
        <f>+D54*0.02</f>
        <v>0</v>
      </c>
      <c r="L57" s="8"/>
      <c r="M57" s="20"/>
      <c r="N57" s="20"/>
      <c r="O57" s="20"/>
      <c r="P57" s="20"/>
      <c r="Q57" s="20">
        <f t="shared" si="7"/>
        <v>0</v>
      </c>
      <c r="R57" s="20">
        <f t="shared" si="2"/>
        <v>0</v>
      </c>
      <c r="S57" s="20">
        <f t="shared" si="3"/>
        <v>0</v>
      </c>
      <c r="T57" s="20">
        <f t="shared" si="4"/>
        <v>0</v>
      </c>
      <c r="U57" s="20">
        <f t="shared" si="5"/>
        <v>0</v>
      </c>
      <c r="V57" s="20"/>
      <c r="W57">
        <f>IF(ISNA(VLOOKUP(I57,Матер!$A$2:$C$85,3,0)),0,VLOOKUP(I57,Матер!$A$2:$C$85,3,0))</f>
        <v>1500</v>
      </c>
      <c r="X57"/>
      <c r="Y57" s="20"/>
    </row>
    <row r="58" spans="1:27" s="11" customFormat="1" hidden="1" outlineLevel="1">
      <c r="A58" s="12"/>
      <c r="B58" s="35"/>
      <c r="C58" s="12"/>
      <c r="D58" s="12"/>
      <c r="E58" s="23"/>
      <c r="F58" s="23"/>
      <c r="G58" s="8"/>
      <c r="H58" s="8"/>
      <c r="I58" s="169" t="s">
        <v>72</v>
      </c>
      <c r="J58" s="8" t="str">
        <f>IF(ISNA(VLOOKUP(I58,Матер!$A$2:$C$85,2,0)),0,VLOOKUP(I58,Матер!$A$2:$C$85,2,0))</f>
        <v>упак/100шт</v>
      </c>
      <c r="K58" s="8">
        <f>D54*0.01*2</f>
        <v>0</v>
      </c>
      <c r="L58" s="8" t="s">
        <v>141</v>
      </c>
      <c r="M58" s="20"/>
      <c r="N58" s="20"/>
      <c r="O58" s="20"/>
      <c r="P58" s="20"/>
      <c r="Q58" s="20">
        <f t="shared" si="7"/>
        <v>0</v>
      </c>
      <c r="R58" s="20">
        <f t="shared" si="2"/>
        <v>0</v>
      </c>
      <c r="S58" s="20">
        <f t="shared" si="3"/>
        <v>0</v>
      </c>
      <c r="T58" s="20">
        <f t="shared" si="4"/>
        <v>0</v>
      </c>
      <c r="U58" s="20">
        <f t="shared" si="5"/>
        <v>0</v>
      </c>
      <c r="V58" s="20"/>
      <c r="W58">
        <f>IF(ISNA(VLOOKUP(I58,Матер!$A$2:$C$85,3,0)),0,VLOOKUP(I58,Матер!$A$2:$C$85,3,0))</f>
        <v>600</v>
      </c>
      <c r="X58"/>
      <c r="Y58" s="20"/>
      <c r="AA58" s="11">
        <f>+Z58*D58</f>
        <v>0</v>
      </c>
    </row>
    <row r="59" spans="1:27" s="11" customFormat="1" hidden="1" outlineLevel="1">
      <c r="A59" s="12"/>
      <c r="B59" s="35"/>
      <c r="C59" s="12"/>
      <c r="D59" s="12"/>
      <c r="E59" s="23"/>
      <c r="F59" s="23"/>
      <c r="G59" s="8"/>
      <c r="H59" s="8"/>
      <c r="I59" s="169" t="s">
        <v>70</v>
      </c>
      <c r="J59" s="8" t="str">
        <f>IF(ISNA(VLOOKUP(I59,Матер!$A$2:$C$85,2,0)),0,VLOOKUP(I59,Матер!$A$2:$C$85,2,0))</f>
        <v>шт</v>
      </c>
      <c r="K59" s="12">
        <f>+D54*4</f>
        <v>0</v>
      </c>
      <c r="L59" s="8"/>
      <c r="M59" s="20"/>
      <c r="N59" s="20"/>
      <c r="O59" s="20"/>
      <c r="P59" s="20"/>
      <c r="Q59" s="20">
        <f t="shared" si="7"/>
        <v>0</v>
      </c>
      <c r="R59" s="20">
        <f t="shared" si="2"/>
        <v>0</v>
      </c>
      <c r="S59" s="20">
        <f t="shared" si="3"/>
        <v>0</v>
      </c>
      <c r="T59" s="20">
        <f t="shared" si="4"/>
        <v>0</v>
      </c>
      <c r="U59" s="20">
        <f t="shared" si="5"/>
        <v>0</v>
      </c>
      <c r="V59" s="20"/>
      <c r="W59">
        <f>IF(ISNA(VLOOKUP(I59,Матер!$A$2:$C$85,3,0)),0,VLOOKUP(I59,Матер!$A$2:$C$85,3,0))</f>
        <v>3.5169999999999999</v>
      </c>
      <c r="X59"/>
      <c r="Y59" s="20"/>
      <c r="AA59" s="11">
        <f>+Z59*D59</f>
        <v>0</v>
      </c>
    </row>
    <row r="60" spans="1:27" s="11" customFormat="1" hidden="1" outlineLevel="1">
      <c r="A60" s="12"/>
      <c r="B60" s="35"/>
      <c r="C60" s="12"/>
      <c r="D60" s="12"/>
      <c r="E60" s="23"/>
      <c r="F60" s="23"/>
      <c r="G60" s="8"/>
      <c r="H60" s="8"/>
      <c r="I60" s="169" t="s">
        <v>66</v>
      </c>
      <c r="J60" s="8" t="str">
        <f>IF(ISNA(VLOOKUP(I60,Матер!$A$2:$C$85,2,0)),0,VLOOKUP(I60,Матер!$A$2:$C$85,2,0))</f>
        <v>кг</v>
      </c>
      <c r="K60" s="12">
        <f>+D54*0.3</f>
        <v>0</v>
      </c>
      <c r="L60" s="8"/>
      <c r="M60" s="20"/>
      <c r="N60" s="20"/>
      <c r="O60" s="20"/>
      <c r="P60" s="20"/>
      <c r="Q60" s="20">
        <f t="shared" si="7"/>
        <v>0</v>
      </c>
      <c r="R60" s="20">
        <f t="shared" si="2"/>
        <v>0</v>
      </c>
      <c r="S60" s="20">
        <f t="shared" si="3"/>
        <v>0</v>
      </c>
      <c r="T60" s="20">
        <f t="shared" si="4"/>
        <v>0</v>
      </c>
      <c r="U60" s="20">
        <f t="shared" si="5"/>
        <v>0</v>
      </c>
      <c r="V60" s="20"/>
      <c r="W60">
        <f>IF(ISNA(VLOOKUP(I60,Матер!$A$2:$C$85,3,0)),0,VLOOKUP(I60,Матер!$A$2:$C$85,3,0))</f>
        <v>86.470000000000013</v>
      </c>
      <c r="X60"/>
      <c r="Y60" s="20"/>
      <c r="AA60" s="11">
        <f>+Z60*D60</f>
        <v>0</v>
      </c>
    </row>
    <row r="61" spans="1:27" s="11" customFormat="1" ht="25.5" hidden="1" outlineLevel="1">
      <c r="A61" s="12"/>
      <c r="B61" s="35"/>
      <c r="C61" s="12"/>
      <c r="D61" s="12"/>
      <c r="E61" s="23"/>
      <c r="F61" s="23"/>
      <c r="G61" s="8"/>
      <c r="H61" s="8"/>
      <c r="I61" s="169" t="s">
        <v>92</v>
      </c>
      <c r="J61" s="8" t="str">
        <f>IF(ISNA(VLOOKUP(I61,Матер!$A$2:$C$85,2,0)),0,VLOOKUP(I61,Матер!$A$2:$C$85,2,0))</f>
        <v>кг</v>
      </c>
      <c r="K61" s="12">
        <f>+D54</f>
        <v>0</v>
      </c>
      <c r="L61" s="8"/>
      <c r="M61" s="20"/>
      <c r="N61" s="20"/>
      <c r="O61" s="20"/>
      <c r="P61" s="20"/>
      <c r="Q61" s="20">
        <f t="shared" si="7"/>
        <v>0</v>
      </c>
      <c r="R61" s="20">
        <f t="shared" si="2"/>
        <v>0</v>
      </c>
      <c r="S61" s="20">
        <f t="shared" si="3"/>
        <v>0</v>
      </c>
      <c r="T61" s="20">
        <f t="shared" si="4"/>
        <v>0</v>
      </c>
      <c r="U61" s="20">
        <f t="shared" si="5"/>
        <v>0</v>
      </c>
      <c r="V61" s="20"/>
      <c r="W61">
        <f>IF(ISNA(VLOOKUP(I61,Матер!$A$2:$C$85,3,0)),0,VLOOKUP(I61,Матер!$A$2:$C$85,3,0))</f>
        <v>80</v>
      </c>
      <c r="X61" t="e">
        <f>SUM(#REF!)</f>
        <v>#REF!</v>
      </c>
      <c r="Y61" s="20"/>
    </row>
    <row r="62" spans="1:27" s="11" customFormat="1" ht="25.5" hidden="1" outlineLevel="1">
      <c r="A62" s="12"/>
      <c r="B62" s="35" t="s">
        <v>97</v>
      </c>
      <c r="C62" s="12" t="s">
        <v>14</v>
      </c>
      <c r="D62" s="12">
        <f>+D54*0.02</f>
        <v>0</v>
      </c>
      <c r="E62" s="23"/>
      <c r="F62" s="23"/>
      <c r="G62" s="8"/>
      <c r="H62" s="8"/>
      <c r="I62" s="169" t="s">
        <v>91</v>
      </c>
      <c r="J62" s="8" t="str">
        <f>IF(ISNA(VLOOKUP(I62,Матер!$A$2:$C$85,2,0)),0,VLOOKUP(I62,Матер!$A$2:$C$85,2,0))</f>
        <v>шт</v>
      </c>
      <c r="K62" s="12">
        <f>+D54*4</f>
        <v>0</v>
      </c>
      <c r="L62" s="8"/>
      <c r="M62" s="20"/>
      <c r="N62" s="20"/>
      <c r="O62" s="20"/>
      <c r="P62" s="20"/>
      <c r="Q62" s="20">
        <f t="shared" si="7"/>
        <v>0</v>
      </c>
      <c r="R62" s="20">
        <f t="shared" si="2"/>
        <v>0</v>
      </c>
      <c r="S62" s="20">
        <f t="shared" si="3"/>
        <v>0</v>
      </c>
      <c r="T62" s="20">
        <f t="shared" si="4"/>
        <v>0</v>
      </c>
      <c r="U62" s="20">
        <f t="shared" si="5"/>
        <v>0</v>
      </c>
      <c r="V62" s="20"/>
      <c r="W62">
        <f>IF(ISNA(VLOOKUP(I62,Матер!$A$2:$C$85,3,0)),0,VLOOKUP(I62,Матер!$A$2:$C$85,3,0))</f>
        <v>98</v>
      </c>
      <c r="X62"/>
      <c r="Y62" s="20"/>
    </row>
    <row r="63" spans="1:27" s="11" customFormat="1" hidden="1" outlineLevel="1">
      <c r="A63" s="12"/>
      <c r="B63" s="35"/>
      <c r="C63" s="12"/>
      <c r="D63" s="12"/>
      <c r="E63" s="23"/>
      <c r="F63" s="23"/>
      <c r="G63" s="8"/>
      <c r="H63" s="8"/>
      <c r="I63" s="169" t="s">
        <v>86</v>
      </c>
      <c r="J63" s="8" t="str">
        <f>IF(ISNA(VLOOKUP(I63,Матер!$A$2:$C$85,2,0)),0,VLOOKUP(I63,Матер!$A$2:$C$85,2,0))</f>
        <v>шт</v>
      </c>
      <c r="K63" s="12">
        <f>+D54</f>
        <v>0</v>
      </c>
      <c r="L63" s="8"/>
      <c r="M63" s="20"/>
      <c r="N63" s="20"/>
      <c r="O63" s="20"/>
      <c r="P63" s="20"/>
      <c r="Q63" s="20">
        <f t="shared" si="7"/>
        <v>0</v>
      </c>
      <c r="R63" s="20">
        <f t="shared" si="2"/>
        <v>0</v>
      </c>
      <c r="S63" s="20">
        <f t="shared" si="3"/>
        <v>0</v>
      </c>
      <c r="T63" s="20">
        <f t="shared" si="4"/>
        <v>0</v>
      </c>
      <c r="U63" s="20">
        <f t="shared" si="5"/>
        <v>0</v>
      </c>
      <c r="V63" s="20"/>
      <c r="W63">
        <f>IF(ISNA(VLOOKUP(I63,Матер!$A$2:$C$85,3,0)),0,VLOOKUP(I63,Матер!$A$2:$C$85,3,0))</f>
        <v>100</v>
      </c>
      <c r="X63"/>
      <c r="Y63" s="20"/>
    </row>
    <row r="64" spans="1:27" s="11" customFormat="1" hidden="1" outlineLevel="1">
      <c r="A64" s="12"/>
      <c r="B64" s="35"/>
      <c r="C64" s="12"/>
      <c r="D64" s="12"/>
      <c r="E64" s="23"/>
      <c r="F64" s="23"/>
      <c r="G64" s="8"/>
      <c r="H64" s="8"/>
      <c r="I64" s="169" t="s">
        <v>38</v>
      </c>
      <c r="J64" s="8" t="str">
        <f>IF(ISNA(VLOOKUP(I64,Матер!$A$2:$C$85,2,0)),0,VLOOKUP(I64,Матер!$A$2:$C$85,2,0))</f>
        <v>шт</v>
      </c>
      <c r="K64" s="12">
        <f>+D54</f>
        <v>0</v>
      </c>
      <c r="L64" s="8"/>
      <c r="M64" s="20"/>
      <c r="N64" s="20"/>
      <c r="O64" s="20"/>
      <c r="P64" s="20"/>
      <c r="Q64" s="20">
        <f t="shared" si="7"/>
        <v>0</v>
      </c>
      <c r="R64" s="20">
        <f t="shared" si="2"/>
        <v>0</v>
      </c>
      <c r="S64" s="20">
        <f t="shared" si="3"/>
        <v>0</v>
      </c>
      <c r="T64" s="20">
        <f t="shared" si="4"/>
        <v>0</v>
      </c>
      <c r="U64" s="20">
        <f t="shared" si="5"/>
        <v>0</v>
      </c>
      <c r="V64" s="20"/>
      <c r="W64">
        <f>IF(ISNA(VLOOKUP(I64,Матер!$A$2:$C$85,3,0)),0,VLOOKUP(I64,Матер!$A$2:$C$85,3,0))</f>
        <v>66.81</v>
      </c>
      <c r="X64"/>
      <c r="Y64" s="20"/>
    </row>
    <row r="65" spans="1:28" s="11" customFormat="1" hidden="1" outlineLevel="1">
      <c r="A65" s="12"/>
      <c r="B65" s="35"/>
      <c r="C65" s="12"/>
      <c r="D65" s="12"/>
      <c r="E65" s="23"/>
      <c r="F65" s="23"/>
      <c r="G65" s="8"/>
      <c r="H65" s="8"/>
      <c r="I65" s="169" t="s">
        <v>74</v>
      </c>
      <c r="J65" s="8" t="str">
        <f>IF(ISNA(VLOOKUP(I65,Матер!$A$2:$C$85,2,0)),0,VLOOKUP(I65,Матер!$A$2:$C$85,2,0))</f>
        <v>упак/50м</v>
      </c>
      <c r="K65" s="8">
        <f>+D54*0.02</f>
        <v>0</v>
      </c>
      <c r="L65" s="8"/>
      <c r="M65" s="20"/>
      <c r="N65" s="20"/>
      <c r="O65" s="20"/>
      <c r="P65" s="20"/>
      <c r="Q65" s="20">
        <f t="shared" si="7"/>
        <v>0</v>
      </c>
      <c r="R65" s="20">
        <f t="shared" si="2"/>
        <v>0</v>
      </c>
      <c r="S65" s="20">
        <f t="shared" si="3"/>
        <v>0</v>
      </c>
      <c r="T65" s="20">
        <f t="shared" si="4"/>
        <v>0</v>
      </c>
      <c r="U65" s="20">
        <f t="shared" si="5"/>
        <v>0</v>
      </c>
      <c r="V65" s="20"/>
      <c r="W65">
        <f>IF(ISNA(VLOOKUP(I65,Матер!$A$2:$C$85,3,0)),0,VLOOKUP(I65,Матер!$A$2:$C$85,3,0))</f>
        <v>1500</v>
      </c>
      <c r="X65"/>
      <c r="Y65" s="20"/>
    </row>
    <row r="66" spans="1:28" s="11" customFormat="1" hidden="1" outlineLevel="1">
      <c r="A66" s="12"/>
      <c r="B66" s="35"/>
      <c r="C66" s="12"/>
      <c r="D66" s="12"/>
      <c r="E66" s="23"/>
      <c r="F66" s="23"/>
      <c r="G66" s="8"/>
      <c r="H66" s="8"/>
      <c r="I66" s="169" t="s">
        <v>72</v>
      </c>
      <c r="J66" s="8" t="str">
        <f>IF(ISNA(VLOOKUP(I66,Матер!$A$2:$C$85,2,0)),0,VLOOKUP(I66,Матер!$A$2:$C$85,2,0))</f>
        <v>упак/100шт</v>
      </c>
      <c r="K66" s="8">
        <f>D54*0.01*2</f>
        <v>0</v>
      </c>
      <c r="L66" s="8"/>
      <c r="M66" s="20"/>
      <c r="N66" s="20"/>
      <c r="O66" s="20"/>
      <c r="P66" s="20"/>
      <c r="Q66" s="20">
        <f t="shared" si="7"/>
        <v>0</v>
      </c>
      <c r="R66" s="20">
        <f t="shared" si="2"/>
        <v>0</v>
      </c>
      <c r="S66" s="20">
        <f t="shared" si="3"/>
        <v>0</v>
      </c>
      <c r="T66" s="20">
        <f t="shared" si="4"/>
        <v>0</v>
      </c>
      <c r="U66" s="20">
        <f t="shared" si="5"/>
        <v>0</v>
      </c>
      <c r="V66" s="20"/>
      <c r="W66">
        <f>IF(ISNA(VLOOKUP(I66,Матер!$A$2:$C$85,3,0)),0,VLOOKUP(I66,Матер!$A$2:$C$85,3,0))</f>
        <v>600</v>
      </c>
      <c r="X66"/>
      <c r="Y66" s="20"/>
    </row>
    <row r="67" spans="1:28" s="11" customFormat="1" hidden="1" outlineLevel="1">
      <c r="A67" s="12"/>
      <c r="B67" s="35"/>
      <c r="C67" s="12"/>
      <c r="D67" s="12"/>
      <c r="E67" s="23"/>
      <c r="F67" s="23"/>
      <c r="G67" s="8"/>
      <c r="H67" s="8"/>
      <c r="I67" s="169" t="s">
        <v>70</v>
      </c>
      <c r="J67" s="8" t="str">
        <f>IF(ISNA(VLOOKUP(I67,Матер!$A$2:$C$85,2,0)),0,VLOOKUP(I67,Матер!$A$2:$C$85,2,0))</f>
        <v>шт</v>
      </c>
      <c r="K67" s="12">
        <f>+D54*4</f>
        <v>0</v>
      </c>
      <c r="L67" s="8"/>
      <c r="M67" s="20"/>
      <c r="N67" s="20"/>
      <c r="O67" s="20"/>
      <c r="P67" s="20"/>
      <c r="Q67" s="20">
        <f t="shared" si="7"/>
        <v>0</v>
      </c>
      <c r="R67" s="20">
        <f t="shared" si="2"/>
        <v>0</v>
      </c>
      <c r="S67" s="20">
        <f t="shared" si="3"/>
        <v>0</v>
      </c>
      <c r="T67" s="20">
        <f t="shared" si="4"/>
        <v>0</v>
      </c>
      <c r="U67" s="20">
        <f t="shared" si="5"/>
        <v>0</v>
      </c>
      <c r="V67" s="20"/>
      <c r="W67">
        <f>IF(ISNA(VLOOKUP(I67,Матер!$A$2:$C$85,3,0)),0,VLOOKUP(I67,Матер!$A$2:$C$85,3,0))</f>
        <v>3.5169999999999999</v>
      </c>
      <c r="X67"/>
      <c r="Y67" s="20"/>
    </row>
    <row r="68" spans="1:28" s="11" customFormat="1" ht="25.5" hidden="1" outlineLevel="1">
      <c r="A68" s="12"/>
      <c r="B68" s="35"/>
      <c r="C68" s="12"/>
      <c r="D68" s="12"/>
      <c r="E68" s="23"/>
      <c r="F68" s="23"/>
      <c r="G68" s="8"/>
      <c r="H68" s="8"/>
      <c r="I68" s="169" t="s">
        <v>57</v>
      </c>
      <c r="J68" s="8" t="str">
        <f>IF(ISNA(VLOOKUP(I68,Матер!$A$2:$C$85,2,0)),0,VLOOKUP(I68,Матер!$A$2:$C$85,2,0))</f>
        <v>км</v>
      </c>
      <c r="K68" s="12">
        <f>+D62</f>
        <v>0</v>
      </c>
      <c r="L68" s="8"/>
      <c r="M68" s="20"/>
      <c r="N68" s="20"/>
      <c r="O68" s="20"/>
      <c r="P68" s="20"/>
      <c r="Q68" s="20">
        <f t="shared" si="7"/>
        <v>0</v>
      </c>
      <c r="R68" s="20">
        <f t="shared" si="2"/>
        <v>0</v>
      </c>
      <c r="S68" s="20">
        <f t="shared" si="3"/>
        <v>0</v>
      </c>
      <c r="T68" s="20">
        <f t="shared" si="4"/>
        <v>0</v>
      </c>
      <c r="U68" s="20">
        <f t="shared" si="5"/>
        <v>0</v>
      </c>
      <c r="V68" s="20"/>
      <c r="W68">
        <f>IF(ISNA(VLOOKUP(I68,Матер!$A$2:$C$85,3,0)),0,VLOOKUP(I68,Матер!$A$2:$C$85,3,0))</f>
        <v>68745</v>
      </c>
      <c r="X68"/>
      <c r="Y68" s="20"/>
    </row>
    <row r="69" spans="1:28" s="17" customFormat="1" ht="25.5" hidden="1" outlineLevel="1">
      <c r="A69" s="12">
        <v>12</v>
      </c>
      <c r="B69" s="35" t="s">
        <v>21</v>
      </c>
      <c r="C69" s="12" t="s">
        <v>15</v>
      </c>
      <c r="D69" s="16">
        <v>0</v>
      </c>
      <c r="E69" s="23"/>
      <c r="F69" s="23"/>
      <c r="G69" s="8"/>
      <c r="H69" s="8"/>
      <c r="I69" s="169" t="s">
        <v>56</v>
      </c>
      <c r="J69" s="8" t="str">
        <f>IF(ISNA(VLOOKUP(I69,Матер!$A$2:$C$85,2,0)),0,VLOOKUP(I69,Матер!$A$2:$C$85,2,0))</f>
        <v>км</v>
      </c>
      <c r="K69" s="10">
        <f>+D69*0.015</f>
        <v>0</v>
      </c>
      <c r="L69" s="8"/>
      <c r="M69" s="20"/>
      <c r="N69" s="20"/>
      <c r="O69" s="20"/>
      <c r="P69" s="20"/>
      <c r="Q69" s="20">
        <f t="shared" si="7"/>
        <v>0</v>
      </c>
      <c r="R69" s="20">
        <f t="shared" si="2"/>
        <v>0</v>
      </c>
      <c r="S69" s="20">
        <f t="shared" si="3"/>
        <v>0</v>
      </c>
      <c r="T69" s="20">
        <f t="shared" si="4"/>
        <v>0</v>
      </c>
      <c r="U69" s="20">
        <f t="shared" si="5"/>
        <v>0</v>
      </c>
      <c r="V69" s="20"/>
      <c r="W69">
        <f>IF(ISNA(VLOOKUP(I69,Матер!$A$2:$C$85,3,0)),0,VLOOKUP(I69,Матер!$A$2:$C$85,3,0))</f>
        <v>34681.949999999997</v>
      </c>
      <c r="X69"/>
      <c r="Y69" s="71" t="s">
        <v>81</v>
      </c>
      <c r="Z69" s="72">
        <v>203.32333066666669</v>
      </c>
      <c r="AA69" s="11">
        <f>+Z69*D69/1000</f>
        <v>0</v>
      </c>
    </row>
    <row r="70" spans="1:28" s="17" customFormat="1" hidden="1" outlineLevel="1">
      <c r="A70" s="12"/>
      <c r="B70" s="35"/>
      <c r="C70" s="12"/>
      <c r="D70" s="16"/>
      <c r="E70" s="23"/>
      <c r="F70" s="23"/>
      <c r="G70" s="8"/>
      <c r="H70" s="8"/>
      <c r="I70" s="169" t="s">
        <v>91</v>
      </c>
      <c r="J70" s="8" t="str">
        <f>IF(ISNA(VLOOKUP(I70,Матер!$A$2:$C$85,2,0)),0,VLOOKUP(I70,Матер!$A$2:$C$85,2,0))</f>
        <v>шт</v>
      </c>
      <c r="K70" s="10">
        <f>+D69*2</f>
        <v>0</v>
      </c>
      <c r="L70" s="8"/>
      <c r="M70" s="20"/>
      <c r="N70" s="20"/>
      <c r="O70" s="20"/>
      <c r="P70" s="20"/>
      <c r="Q70" s="20">
        <f t="shared" si="7"/>
        <v>0</v>
      </c>
      <c r="R70" s="20">
        <f t="shared" si="2"/>
        <v>0</v>
      </c>
      <c r="S70" s="20">
        <f t="shared" si="3"/>
        <v>0</v>
      </c>
      <c r="T70" s="20">
        <f t="shared" si="4"/>
        <v>0</v>
      </c>
      <c r="U70" s="20">
        <f t="shared" si="5"/>
        <v>0</v>
      </c>
      <c r="V70" s="20"/>
      <c r="W70">
        <f>IF(ISNA(VLOOKUP(I70,Матер!$A$2:$C$85,3,0)),0,VLOOKUP(I70,Матер!$A$2:$C$85,3,0))</f>
        <v>98</v>
      </c>
      <c r="X70"/>
      <c r="Y70" s="71"/>
      <c r="Z70" s="72"/>
      <c r="AA70" s="11"/>
    </row>
    <row r="71" spans="1:28" s="17" customFormat="1" hidden="1" outlineLevel="1">
      <c r="A71" s="12"/>
      <c r="B71" s="35"/>
      <c r="C71" s="12"/>
      <c r="D71" s="16"/>
      <c r="E71" s="23"/>
      <c r="F71" s="23"/>
      <c r="G71" s="8"/>
      <c r="H71" s="8"/>
      <c r="I71" s="169" t="s">
        <v>87</v>
      </c>
      <c r="J71" s="8" t="str">
        <f>IF(ISNA(VLOOKUP(I71,Матер!$A$2:$C$85,2,0)),0,VLOOKUP(I71,Матер!$A$2:$C$85,2,0))</f>
        <v>шт</v>
      </c>
      <c r="K71" s="10">
        <f>+D69</f>
        <v>0</v>
      </c>
      <c r="L71" s="8"/>
      <c r="M71" s="20"/>
      <c r="N71" s="20"/>
      <c r="O71" s="20"/>
      <c r="P71" s="20"/>
      <c r="Q71" s="20">
        <f t="shared" si="7"/>
        <v>0</v>
      </c>
      <c r="R71" s="20">
        <f t="shared" si="2"/>
        <v>0</v>
      </c>
      <c r="S71" s="20">
        <f t="shared" si="3"/>
        <v>0</v>
      </c>
      <c r="T71" s="20">
        <f t="shared" si="4"/>
        <v>0</v>
      </c>
      <c r="U71" s="20">
        <f t="shared" si="5"/>
        <v>0</v>
      </c>
      <c r="V71" s="20"/>
      <c r="W71">
        <f>IF(ISNA(VLOOKUP(I71,Матер!$A$2:$C$85,3,0)),0,VLOOKUP(I71,Матер!$A$2:$C$85,3,0))</f>
        <v>20</v>
      </c>
      <c r="X71"/>
      <c r="Y71" s="71"/>
      <c r="Z71" s="72"/>
      <c r="AA71" s="11"/>
    </row>
    <row r="72" spans="1:28" s="17" customFormat="1" hidden="1" outlineLevel="1">
      <c r="A72" s="12"/>
      <c r="B72" s="35"/>
      <c r="C72" s="12"/>
      <c r="D72" s="16"/>
      <c r="E72" s="23"/>
      <c r="F72" s="23"/>
      <c r="G72" s="8"/>
      <c r="H72" s="8"/>
      <c r="I72" s="169" t="s">
        <v>74</v>
      </c>
      <c r="J72" s="8" t="str">
        <f>IF(ISNA(VLOOKUP(I72,Матер!$A$2:$C$85,2,0)),0,VLOOKUP(I72,Матер!$A$2:$C$85,2,0))</f>
        <v>упак/50м</v>
      </c>
      <c r="K72" s="8">
        <f>+D69*0.02</f>
        <v>0</v>
      </c>
      <c r="L72" s="8"/>
      <c r="M72" s="20"/>
      <c r="N72" s="20"/>
      <c r="O72" s="20"/>
      <c r="P72" s="20"/>
      <c r="Q72" s="20">
        <f t="shared" si="7"/>
        <v>0</v>
      </c>
      <c r="R72" s="20">
        <f t="shared" si="2"/>
        <v>0</v>
      </c>
      <c r="S72" s="20">
        <f t="shared" si="3"/>
        <v>0</v>
      </c>
      <c r="T72" s="20">
        <f t="shared" si="4"/>
        <v>0</v>
      </c>
      <c r="U72" s="20">
        <f t="shared" si="5"/>
        <v>0</v>
      </c>
      <c r="V72" s="20"/>
      <c r="W72">
        <f>IF(ISNA(VLOOKUP(I72,Матер!$A$2:$C$85,3,0)),0,VLOOKUP(I72,Матер!$A$2:$C$85,3,0))</f>
        <v>1500</v>
      </c>
      <c r="X72"/>
      <c r="Y72" s="20"/>
      <c r="AA72" s="11">
        <f>+Z72*D72</f>
        <v>0</v>
      </c>
    </row>
    <row r="73" spans="1:28" s="17" customFormat="1" hidden="1" outlineLevel="1">
      <c r="A73" s="12"/>
      <c r="B73" s="35"/>
      <c r="C73" s="12"/>
      <c r="D73" s="16"/>
      <c r="E73" s="23"/>
      <c r="F73" s="23"/>
      <c r="G73" s="8"/>
      <c r="H73" s="8"/>
      <c r="I73" s="169" t="s">
        <v>72</v>
      </c>
      <c r="J73" s="8" t="str">
        <f>IF(ISNA(VLOOKUP(I73,Матер!$A$2:$C$85,2,0)),0,VLOOKUP(I73,Матер!$A$2:$C$85,2,0))</f>
        <v>упак/100шт</v>
      </c>
      <c r="K73" s="12">
        <f>+D69*0.01</f>
        <v>0</v>
      </c>
      <c r="L73" s="8"/>
      <c r="M73" s="20"/>
      <c r="N73" s="20"/>
      <c r="O73" s="20"/>
      <c r="P73" s="20"/>
      <c r="Q73" s="20">
        <f t="shared" si="7"/>
        <v>0</v>
      </c>
      <c r="R73" s="20">
        <f t="shared" si="2"/>
        <v>0</v>
      </c>
      <c r="S73" s="20">
        <f t="shared" si="3"/>
        <v>0</v>
      </c>
      <c r="T73" s="20">
        <f t="shared" si="4"/>
        <v>0</v>
      </c>
      <c r="U73" s="20">
        <f t="shared" si="5"/>
        <v>0</v>
      </c>
      <c r="V73" s="20"/>
      <c r="W73">
        <f>IF(ISNA(VLOOKUP(I73,Матер!$A$2:$C$85,3,0)),0,VLOOKUP(I73,Матер!$A$2:$C$85,3,0))</f>
        <v>600</v>
      </c>
      <c r="X73"/>
      <c r="Y73" s="20"/>
      <c r="AA73" s="11">
        <f>+Z73*D73</f>
        <v>0</v>
      </c>
    </row>
    <row r="74" spans="1:28" s="17" customFormat="1" hidden="1" outlineLevel="1">
      <c r="A74" s="12"/>
      <c r="B74" s="35"/>
      <c r="C74" s="12"/>
      <c r="D74" s="16"/>
      <c r="E74" s="23"/>
      <c r="F74" s="23"/>
      <c r="G74" s="8"/>
      <c r="H74" s="8"/>
      <c r="I74" s="169" t="s">
        <v>38</v>
      </c>
      <c r="J74" s="8" t="str">
        <f>IF(ISNA(VLOOKUP(I74,Матер!$A$2:$C$85,2,0)),0,VLOOKUP(I74,Матер!$A$2:$C$85,2,0))</f>
        <v>шт</v>
      </c>
      <c r="K74" s="10">
        <f>+D69*2</f>
        <v>0</v>
      </c>
      <c r="L74" s="8"/>
      <c r="M74" s="20"/>
      <c r="N74" s="20"/>
      <c r="O74" s="20"/>
      <c r="P74" s="20"/>
      <c r="Q74" s="20">
        <f t="shared" si="7"/>
        <v>0</v>
      </c>
      <c r="R74" s="20">
        <f t="shared" si="2"/>
        <v>0</v>
      </c>
      <c r="S74" s="20">
        <f t="shared" si="3"/>
        <v>0</v>
      </c>
      <c r="T74" s="20">
        <f t="shared" si="4"/>
        <v>0</v>
      </c>
      <c r="U74" s="20">
        <f t="shared" si="5"/>
        <v>0</v>
      </c>
      <c r="V74" s="20"/>
      <c r="W74">
        <f>IF(ISNA(VLOOKUP(I74,Матер!$A$2:$C$85,3,0)),0,VLOOKUP(I74,Матер!$A$2:$C$85,3,0))</f>
        <v>66.81</v>
      </c>
      <c r="X74"/>
      <c r="AA74" s="11">
        <f>+Z74*D74</f>
        <v>0</v>
      </c>
    </row>
    <row r="75" spans="1:28" s="17" customFormat="1" hidden="1" outlineLevel="1">
      <c r="A75" s="12"/>
      <c r="B75" s="35"/>
      <c r="C75" s="12"/>
      <c r="D75" s="16"/>
      <c r="E75" s="23"/>
      <c r="F75" s="23"/>
      <c r="G75" s="8"/>
      <c r="H75" s="8"/>
      <c r="I75" s="169" t="s">
        <v>70</v>
      </c>
      <c r="J75" s="8" t="str">
        <f>IF(ISNA(VLOOKUP(I75,Матер!$A$2:$C$85,2,0)),0,VLOOKUP(I75,Матер!$A$2:$C$85,2,0))</f>
        <v>шт</v>
      </c>
      <c r="K75" s="10">
        <f>+D69*4</f>
        <v>0</v>
      </c>
      <c r="L75" s="8"/>
      <c r="M75" s="20"/>
      <c r="N75" s="20"/>
      <c r="O75" s="20"/>
      <c r="P75" s="20"/>
      <c r="Q75" s="20">
        <f t="shared" si="7"/>
        <v>0</v>
      </c>
      <c r="R75" s="20">
        <f t="shared" si="2"/>
        <v>0</v>
      </c>
      <c r="S75" s="20">
        <f t="shared" si="3"/>
        <v>0</v>
      </c>
      <c r="T75" s="20">
        <f t="shared" si="4"/>
        <v>0</v>
      </c>
      <c r="U75" s="20">
        <f t="shared" si="5"/>
        <v>0</v>
      </c>
      <c r="V75" s="20"/>
      <c r="W75">
        <f>IF(ISNA(VLOOKUP(I75,Матер!$A$2:$C$85,3,0)),0,VLOOKUP(I75,Матер!$A$2:$C$85,3,0))</f>
        <v>3.5169999999999999</v>
      </c>
      <c r="X75"/>
      <c r="AA75" s="11"/>
    </row>
    <row r="76" spans="1:28" s="17" customFormat="1" ht="38.25" hidden="1" outlineLevel="1">
      <c r="A76" s="12">
        <v>13</v>
      </c>
      <c r="B76" s="35" t="s">
        <v>22</v>
      </c>
      <c r="C76" s="12" t="s">
        <v>15</v>
      </c>
      <c r="D76" s="8">
        <f>+D69</f>
        <v>0</v>
      </c>
      <c r="E76" s="23"/>
      <c r="F76" s="23"/>
      <c r="G76" s="8"/>
      <c r="H76" s="8"/>
      <c r="I76" s="169" t="s">
        <v>69</v>
      </c>
      <c r="J76" s="8" t="str">
        <f>IF(ISNA(VLOOKUP(I76,Матер!$A$2:$C$85,2,0)),0,VLOOKUP(I76,Матер!$A$2:$C$85,2,0))</f>
        <v>шт</v>
      </c>
      <c r="K76" s="10">
        <f>+D76</f>
        <v>0</v>
      </c>
      <c r="L76" s="165" t="s">
        <v>31</v>
      </c>
      <c r="M76" s="20"/>
      <c r="N76" s="20"/>
      <c r="O76" s="20"/>
      <c r="P76" s="20"/>
      <c r="Q76" s="20">
        <f t="shared" si="7"/>
        <v>0</v>
      </c>
      <c r="R76" s="20">
        <f t="shared" si="2"/>
        <v>0</v>
      </c>
      <c r="S76" s="20">
        <f t="shared" si="3"/>
        <v>0</v>
      </c>
      <c r="T76" s="20">
        <f t="shared" si="4"/>
        <v>0</v>
      </c>
      <c r="U76" s="20">
        <f t="shared" si="5"/>
        <v>0</v>
      </c>
      <c r="V76" s="20"/>
      <c r="W76">
        <f>IF(ISNA(VLOOKUP(I76,Матер!$A$2:$C$85,3,0)),0,VLOOKUP(I76,Матер!$A$2:$C$85,3,0))</f>
        <v>0</v>
      </c>
      <c r="X76"/>
      <c r="Y76" s="71" t="s">
        <v>83</v>
      </c>
      <c r="Z76" s="32">
        <v>101.25</v>
      </c>
      <c r="AA76" s="11">
        <f>+Z76*D76/1000</f>
        <v>0</v>
      </c>
      <c r="AB76" s="17">
        <f>SUM(AA69:AA77)</f>
        <v>0</v>
      </c>
    </row>
    <row r="77" spans="1:28" s="17" customFormat="1" hidden="1" outlineLevel="1">
      <c r="A77" s="12"/>
      <c r="B77" s="35"/>
      <c r="C77" s="12"/>
      <c r="D77" s="8"/>
      <c r="E77" s="23"/>
      <c r="F77" s="23"/>
      <c r="G77" s="8"/>
      <c r="H77" s="8"/>
      <c r="I77" s="169" t="s">
        <v>91</v>
      </c>
      <c r="J77" s="8" t="str">
        <f>IF(ISNA(VLOOKUP(I77,Матер!$A$2:$C$85,2,0)),0,VLOOKUP(I77,Матер!$A$2:$C$85,2,0))</f>
        <v>шт</v>
      </c>
      <c r="K77" s="10">
        <f>+D76*2</f>
        <v>0</v>
      </c>
      <c r="L77" s="8"/>
      <c r="M77" s="20"/>
      <c r="N77" s="20"/>
      <c r="O77" s="20"/>
      <c r="P77" s="20"/>
      <c r="Q77" s="20">
        <f t="shared" si="7"/>
        <v>0</v>
      </c>
      <c r="R77" s="20">
        <f t="shared" si="2"/>
        <v>0</v>
      </c>
      <c r="S77" s="20">
        <f t="shared" si="3"/>
        <v>0</v>
      </c>
      <c r="T77" s="20">
        <f t="shared" si="4"/>
        <v>0</v>
      </c>
      <c r="U77" s="20">
        <f t="shared" si="5"/>
        <v>0</v>
      </c>
      <c r="V77" s="20"/>
      <c r="W77">
        <f>IF(ISNA(VLOOKUP(I77,Матер!$A$2:$C$85,3,0)),0,VLOOKUP(I77,Матер!$A$2:$C$85,3,0))</f>
        <v>98</v>
      </c>
      <c r="X77"/>
      <c r="AA77" s="11">
        <f>+Z77*D77</f>
        <v>0</v>
      </c>
    </row>
    <row r="78" spans="1:28" s="17" customFormat="1" hidden="1" outlineLevel="1">
      <c r="A78" s="12"/>
      <c r="B78" s="35"/>
      <c r="C78" s="12"/>
      <c r="D78" s="8"/>
      <c r="E78" s="23"/>
      <c r="F78" s="23"/>
      <c r="G78" s="8"/>
      <c r="H78" s="8"/>
      <c r="I78" s="169" t="s">
        <v>70</v>
      </c>
      <c r="J78" s="8" t="str">
        <f>IF(ISNA(VLOOKUP(I78,Матер!$A$2:$C$85,2,0)),0,VLOOKUP(I78,Матер!$A$2:$C$85,2,0))</f>
        <v>шт</v>
      </c>
      <c r="K78" s="10">
        <f>+D76*2</f>
        <v>0</v>
      </c>
      <c r="L78" s="8"/>
      <c r="M78" s="20"/>
      <c r="N78" s="20"/>
      <c r="O78" s="20"/>
      <c r="P78" s="20"/>
      <c r="Q78" s="20">
        <f t="shared" si="7"/>
        <v>0</v>
      </c>
      <c r="R78" s="20">
        <f t="shared" si="2"/>
        <v>0</v>
      </c>
      <c r="S78" s="20">
        <f t="shared" si="3"/>
        <v>0</v>
      </c>
      <c r="T78" s="20">
        <f t="shared" si="4"/>
        <v>0</v>
      </c>
      <c r="U78" s="20">
        <f t="shared" si="5"/>
        <v>0</v>
      </c>
      <c r="V78" s="20"/>
      <c r="W78">
        <f>IF(ISNA(VLOOKUP(I78,Матер!$A$2:$C$85,3,0)),0,VLOOKUP(I78,Матер!$A$2:$C$85,3,0))</f>
        <v>3.5169999999999999</v>
      </c>
      <c r="X78" t="e">
        <f>SUM(#REF!)</f>
        <v>#REF!</v>
      </c>
      <c r="Y78" s="20"/>
      <c r="AA78" s="11">
        <f>+Z78*D78</f>
        <v>0</v>
      </c>
    </row>
    <row r="79" spans="1:28" s="17" customFormat="1" ht="25.5" collapsed="1">
      <c r="A79" s="12">
        <v>11</v>
      </c>
      <c r="B79" s="35" t="s">
        <v>202</v>
      </c>
      <c r="C79" s="12" t="s">
        <v>15</v>
      </c>
      <c r="D79" s="16">
        <f>D23</f>
        <v>28</v>
      </c>
      <c r="E79" s="23"/>
      <c r="F79" s="23"/>
      <c r="G79" s="8"/>
      <c r="H79" s="8"/>
      <c r="I79" s="169" t="s">
        <v>56</v>
      </c>
      <c r="J79" s="8" t="s">
        <v>170</v>
      </c>
      <c r="K79" s="10">
        <f>D79*15</f>
        <v>420</v>
      </c>
      <c r="L79" s="8" t="s">
        <v>142</v>
      </c>
      <c r="M79" s="20"/>
      <c r="N79" s="20">
        <v>1</v>
      </c>
      <c r="O79" s="132">
        <v>0.13700000000000001</v>
      </c>
      <c r="P79" s="20"/>
      <c r="Q79" s="77">
        <f>O79*K79</f>
        <v>57.540000000000006</v>
      </c>
      <c r="R79" s="77">
        <f t="shared" si="2"/>
        <v>57.540000000000006</v>
      </c>
      <c r="S79" s="20">
        <f t="shared" si="3"/>
        <v>0</v>
      </c>
      <c r="T79" s="20">
        <f t="shared" si="4"/>
        <v>0</v>
      </c>
      <c r="U79" s="20">
        <f t="shared" si="5"/>
        <v>0</v>
      </c>
      <c r="V79" s="150" t="s">
        <v>186</v>
      </c>
      <c r="W79">
        <f>IF(ISNA(VLOOKUP(I79,Матер!$A$2:$C$85,3,0)),0,VLOOKUP(I79,Матер!$A$2:$C$85,3,0))</f>
        <v>34681.949999999997</v>
      </c>
      <c r="X79"/>
      <c r="Y79" s="71" t="s">
        <v>80</v>
      </c>
      <c r="Z79" s="17">
        <v>261.55</v>
      </c>
      <c r="AA79" s="11">
        <f>+Z79*D79/1000</f>
        <v>7.3234000000000004</v>
      </c>
    </row>
    <row r="80" spans="1:28" s="17" customFormat="1">
      <c r="A80" s="12"/>
      <c r="B80" s="35"/>
      <c r="C80" s="12"/>
      <c r="D80" s="16"/>
      <c r="E80" s="23"/>
      <c r="F80" s="23"/>
      <c r="G80" s="8"/>
      <c r="H80" s="8"/>
      <c r="I80" s="169" t="s">
        <v>91</v>
      </c>
      <c r="J80" s="8" t="str">
        <f>IF(ISNA(VLOOKUP(I80,Матер!$A$2:$C$85,2,0)),0,VLOOKUP(I80,Матер!$A$2:$C$85,2,0))</f>
        <v>шт</v>
      </c>
      <c r="K80" s="10">
        <f>+D79*4</f>
        <v>112</v>
      </c>
      <c r="L80" s="8" t="s">
        <v>142</v>
      </c>
      <c r="M80" s="20"/>
      <c r="N80" s="20">
        <v>1</v>
      </c>
      <c r="O80" s="20">
        <v>0.125</v>
      </c>
      <c r="P80" s="20"/>
      <c r="Q80" s="20">
        <f t="shared" ref="Q80:Q103" si="8">O80*K80</f>
        <v>14</v>
      </c>
      <c r="R80" s="20">
        <f t="shared" si="2"/>
        <v>14</v>
      </c>
      <c r="S80" s="20">
        <f t="shared" si="3"/>
        <v>0</v>
      </c>
      <c r="T80" s="20">
        <f t="shared" si="4"/>
        <v>0</v>
      </c>
      <c r="U80" s="20">
        <f t="shared" si="5"/>
        <v>0</v>
      </c>
      <c r="V80" s="20"/>
      <c r="W80">
        <f>IF(ISNA(VLOOKUP(I80,Матер!$A$2:$C$85,3,0)),0,VLOOKUP(I80,Матер!$A$2:$C$85,3,0))</f>
        <v>98</v>
      </c>
      <c r="X80"/>
      <c r="Y80" s="71"/>
      <c r="AA80" s="11"/>
    </row>
    <row r="81" spans="1:28" s="17" customFormat="1">
      <c r="A81" s="12"/>
      <c r="B81" s="35"/>
      <c r="C81" s="12"/>
      <c r="D81" s="16"/>
      <c r="E81" s="23"/>
      <c r="F81" s="23"/>
      <c r="G81" s="8"/>
      <c r="H81" s="8"/>
      <c r="I81" s="169" t="s">
        <v>87</v>
      </c>
      <c r="J81" s="8" t="str">
        <f>IF(ISNA(VLOOKUP(I81,Матер!$A$2:$C$85,2,0)),0,VLOOKUP(I81,Матер!$A$2:$C$85,2,0))</f>
        <v>шт</v>
      </c>
      <c r="K81" s="10">
        <f>+D79</f>
        <v>28</v>
      </c>
      <c r="L81" s="8" t="s">
        <v>142</v>
      </c>
      <c r="M81" s="20"/>
      <c r="N81" s="20">
        <v>1</v>
      </c>
      <c r="O81" s="20">
        <v>0.1</v>
      </c>
      <c r="P81" s="20"/>
      <c r="Q81" s="20">
        <f t="shared" si="8"/>
        <v>2.8000000000000003</v>
      </c>
      <c r="R81" s="20">
        <f t="shared" si="2"/>
        <v>2.8000000000000003</v>
      </c>
      <c r="S81" s="20">
        <f t="shared" si="3"/>
        <v>0</v>
      </c>
      <c r="T81" s="20">
        <f t="shared" si="4"/>
        <v>0</v>
      </c>
      <c r="U81" s="20">
        <f t="shared" si="5"/>
        <v>0</v>
      </c>
      <c r="V81" s="20"/>
      <c r="W81">
        <f>IF(ISNA(VLOOKUP(I81,Матер!$A$2:$C$85,3,0)),0,VLOOKUP(I81,Матер!$A$2:$C$85,3,0))</f>
        <v>20</v>
      </c>
      <c r="X81"/>
      <c r="Y81" s="71"/>
      <c r="AA81" s="11"/>
    </row>
    <row r="82" spans="1:28" s="17" customFormat="1">
      <c r="A82" s="12"/>
      <c r="B82" s="35"/>
      <c r="C82" s="12"/>
      <c r="D82" s="16"/>
      <c r="E82" s="23"/>
      <c r="F82" s="23"/>
      <c r="G82" s="8"/>
      <c r="H82" s="8"/>
      <c r="I82" s="169" t="s">
        <v>74</v>
      </c>
      <c r="J82" s="8" t="str">
        <f>IF(ISNA(VLOOKUP(I82,Матер!$A$2:$C$85,2,0)),0,VLOOKUP(I82,Матер!$A$2:$C$85,2,0))</f>
        <v>упак/50м</v>
      </c>
      <c r="K82" s="8">
        <f>(D79*2/50*100)/100</f>
        <v>1.1200000000000001</v>
      </c>
      <c r="L82" s="8" t="s">
        <v>142</v>
      </c>
      <c r="M82" s="20">
        <f>26/50*100</f>
        <v>52</v>
      </c>
      <c r="N82" s="20">
        <v>1</v>
      </c>
      <c r="O82" s="20">
        <v>3.9</v>
      </c>
      <c r="P82" s="20"/>
      <c r="Q82" s="20">
        <f t="shared" si="8"/>
        <v>4.3680000000000003</v>
      </c>
      <c r="R82" s="20">
        <f t="shared" si="2"/>
        <v>4.3680000000000003</v>
      </c>
      <c r="S82" s="20">
        <f t="shared" si="3"/>
        <v>0</v>
      </c>
      <c r="T82" s="20">
        <f t="shared" si="4"/>
        <v>0</v>
      </c>
      <c r="U82" s="20">
        <f t="shared" si="5"/>
        <v>0</v>
      </c>
      <c r="V82" s="20"/>
      <c r="W82">
        <f>IF(ISNA(VLOOKUP(I82,Матер!$A$2:$C$85,3,0)),0,VLOOKUP(I82,Матер!$A$2:$C$85,3,0))</f>
        <v>1500</v>
      </c>
      <c r="X82"/>
      <c r="Y82" s="20"/>
      <c r="AA82" s="11">
        <f>+Z82*D82</f>
        <v>0</v>
      </c>
    </row>
    <row r="83" spans="1:28" s="17" customFormat="1">
      <c r="A83" s="12"/>
      <c r="B83" s="35"/>
      <c r="C83" s="12"/>
      <c r="D83" s="16"/>
      <c r="E83" s="23"/>
      <c r="F83" s="23"/>
      <c r="G83" s="8"/>
      <c r="H83" s="8"/>
      <c r="I83" s="169" t="s">
        <v>72</v>
      </c>
      <c r="J83" s="8" t="str">
        <f>IF(ISNA(VLOOKUP(I83,Матер!$A$2:$C$85,2,0)),0,VLOOKUP(I83,Матер!$A$2:$C$85,2,0))</f>
        <v>упак/100шт</v>
      </c>
      <c r="K83" s="8">
        <f>+D79*0.02</f>
        <v>0.56000000000000005</v>
      </c>
      <c r="L83" s="8" t="s">
        <v>142</v>
      </c>
      <c r="M83" s="20"/>
      <c r="N83" s="20">
        <v>1</v>
      </c>
      <c r="O83" s="20">
        <v>1</v>
      </c>
      <c r="P83" s="20"/>
      <c r="Q83" s="20">
        <f t="shared" si="8"/>
        <v>0.56000000000000005</v>
      </c>
      <c r="R83" s="20">
        <f t="shared" si="2"/>
        <v>0.56000000000000005</v>
      </c>
      <c r="S83" s="20">
        <f t="shared" si="3"/>
        <v>0</v>
      </c>
      <c r="T83" s="20">
        <f t="shared" si="4"/>
        <v>0</v>
      </c>
      <c r="U83" s="20">
        <f t="shared" si="5"/>
        <v>0</v>
      </c>
      <c r="V83" s="20"/>
      <c r="W83">
        <f>IF(ISNA(VLOOKUP(I83,Матер!$A$2:$C$85,3,0)),0,VLOOKUP(I83,Матер!$A$2:$C$85,3,0))</f>
        <v>600</v>
      </c>
      <c r="X83"/>
      <c r="Y83" s="20"/>
      <c r="AA83" s="11">
        <f>+Z83*D83</f>
        <v>0</v>
      </c>
    </row>
    <row r="84" spans="1:28" s="17" customFormat="1">
      <c r="A84" s="12"/>
      <c r="B84" s="35"/>
      <c r="C84" s="12"/>
      <c r="D84" s="16"/>
      <c r="E84" s="23"/>
      <c r="F84" s="23"/>
      <c r="G84" s="8"/>
      <c r="H84" s="8"/>
      <c r="I84" s="169" t="s">
        <v>38</v>
      </c>
      <c r="J84" s="8" t="str">
        <f>IF(ISNA(VLOOKUP(I84,Матер!$A$2:$C$85,2,0)),0,VLOOKUP(I84,Матер!$A$2:$C$85,2,0))</f>
        <v>шт</v>
      </c>
      <c r="K84" s="10">
        <f>+D79*2</f>
        <v>56</v>
      </c>
      <c r="L84" s="8" t="s">
        <v>142</v>
      </c>
      <c r="M84" s="20"/>
      <c r="N84" s="20">
        <v>1</v>
      </c>
      <c r="O84" s="20">
        <v>0.46</v>
      </c>
      <c r="P84" s="20"/>
      <c r="Q84" s="20">
        <f t="shared" si="8"/>
        <v>25.76</v>
      </c>
      <c r="R84" s="20">
        <f t="shared" si="2"/>
        <v>25.76</v>
      </c>
      <c r="S84" s="20">
        <f t="shared" si="3"/>
        <v>0</v>
      </c>
      <c r="T84" s="20">
        <f t="shared" si="4"/>
        <v>0</v>
      </c>
      <c r="U84" s="20">
        <f t="shared" si="5"/>
        <v>0</v>
      </c>
      <c r="V84" s="20"/>
      <c r="W84">
        <f>IF(ISNA(VLOOKUP(I84,Матер!$A$2:$C$85,3,0)),0,VLOOKUP(I84,Матер!$A$2:$C$85,3,0))</f>
        <v>66.81</v>
      </c>
      <c r="X84"/>
      <c r="Y84" s="20"/>
      <c r="AA84" s="11">
        <f>+Z84*D84</f>
        <v>0</v>
      </c>
    </row>
    <row r="85" spans="1:28" s="17" customFormat="1">
      <c r="A85" s="12"/>
      <c r="B85" s="35"/>
      <c r="C85" s="12"/>
      <c r="D85" s="16"/>
      <c r="E85" s="23"/>
      <c r="F85" s="23"/>
      <c r="G85" s="8"/>
      <c r="H85" s="8"/>
      <c r="I85" s="169" t="s">
        <v>70</v>
      </c>
      <c r="J85" s="8" t="str">
        <f>IF(ISNA(VLOOKUP(I85,Матер!$A$2:$C$85,2,0)),0,VLOOKUP(I85,Матер!$A$2:$C$85,2,0))</f>
        <v>шт</v>
      </c>
      <c r="K85" s="10">
        <f>+D79*6</f>
        <v>168</v>
      </c>
      <c r="L85" s="8" t="s">
        <v>142</v>
      </c>
      <c r="M85" s="20"/>
      <c r="N85" s="20">
        <v>1</v>
      </c>
      <c r="O85" s="20">
        <v>1.4999999999999999E-2</v>
      </c>
      <c r="P85" s="20"/>
      <c r="Q85" s="20">
        <f t="shared" si="8"/>
        <v>2.52</v>
      </c>
      <c r="R85" s="20">
        <f t="shared" si="2"/>
        <v>2.52</v>
      </c>
      <c r="S85" s="20">
        <f t="shared" si="3"/>
        <v>0</v>
      </c>
      <c r="T85" s="20">
        <f t="shared" si="4"/>
        <v>0</v>
      </c>
      <c r="U85" s="20">
        <f t="shared" si="5"/>
        <v>0</v>
      </c>
      <c r="V85" s="20"/>
      <c r="W85">
        <f>IF(ISNA(VLOOKUP(I85,Матер!$A$2:$C$85,3,0)),0,VLOOKUP(I85,Матер!$A$2:$C$85,3,0))</f>
        <v>3.5169999999999999</v>
      </c>
      <c r="X85"/>
      <c r="Y85" s="20"/>
      <c r="AA85" s="11"/>
    </row>
    <row r="86" spans="1:28" s="17" customFormat="1">
      <c r="A86" s="12">
        <v>12</v>
      </c>
      <c r="B86" s="35" t="s">
        <v>22</v>
      </c>
      <c r="C86" s="12" t="s">
        <v>15</v>
      </c>
      <c r="D86" s="8">
        <f>D24</f>
        <v>28</v>
      </c>
      <c r="E86" s="23"/>
      <c r="F86" s="23"/>
      <c r="G86" s="8"/>
      <c r="H86" s="8"/>
      <c r="I86" s="169" t="s">
        <v>69</v>
      </c>
      <c r="J86" s="8" t="str">
        <f>IF(ISNA(VLOOKUP(I86,Матер!$A$2:$C$85,2,0)),0,VLOOKUP(I86,Матер!$A$2:$C$85,2,0))</f>
        <v>шт</v>
      </c>
      <c r="K86" s="10">
        <f>+D86</f>
        <v>28</v>
      </c>
      <c r="L86" s="167" t="s">
        <v>208</v>
      </c>
      <c r="M86" s="20"/>
      <c r="N86" s="20"/>
      <c r="O86" s="20"/>
      <c r="P86" s="20"/>
      <c r="Q86" s="20">
        <f t="shared" si="8"/>
        <v>0</v>
      </c>
      <c r="R86" s="20">
        <f t="shared" si="2"/>
        <v>0</v>
      </c>
      <c r="S86" s="20">
        <f t="shared" si="3"/>
        <v>0</v>
      </c>
      <c r="T86" s="20">
        <f t="shared" si="4"/>
        <v>0</v>
      </c>
      <c r="U86" s="20">
        <f t="shared" si="5"/>
        <v>0</v>
      </c>
      <c r="V86" s="20"/>
      <c r="W86"/>
      <c r="X86"/>
      <c r="Y86" s="20"/>
      <c r="AA86" s="11"/>
    </row>
    <row r="87" spans="1:28" s="17" customFormat="1">
      <c r="A87" s="12"/>
      <c r="B87" s="35"/>
      <c r="C87" s="12"/>
      <c r="D87" s="8"/>
      <c r="E87" s="23"/>
      <c r="F87" s="23"/>
      <c r="G87" s="8"/>
      <c r="H87" s="8"/>
      <c r="I87" s="169" t="s">
        <v>91</v>
      </c>
      <c r="J87" s="8" t="str">
        <f>IF(ISNA(VLOOKUP(I87,Матер!$A$2:$C$85,2,0)),0,VLOOKUP(I87,Матер!$A$2:$C$85,2,0))</f>
        <v>шт</v>
      </c>
      <c r="K87" s="10">
        <f>+D86*2</f>
        <v>56</v>
      </c>
      <c r="L87" s="8" t="s">
        <v>142</v>
      </c>
      <c r="M87" s="20"/>
      <c r="N87" s="20">
        <v>1</v>
      </c>
      <c r="O87" s="20">
        <v>0.125</v>
      </c>
      <c r="P87" s="20"/>
      <c r="Q87" s="20">
        <f t="shared" si="8"/>
        <v>7</v>
      </c>
      <c r="R87" s="20">
        <f t="shared" si="2"/>
        <v>7</v>
      </c>
      <c r="S87" s="20">
        <f t="shared" si="3"/>
        <v>0</v>
      </c>
      <c r="T87" s="20">
        <f t="shared" si="4"/>
        <v>0</v>
      </c>
      <c r="U87" s="20">
        <f t="shared" si="5"/>
        <v>0</v>
      </c>
      <c r="V87" s="20"/>
      <c r="W87"/>
      <c r="X87"/>
      <c r="Y87" s="20"/>
      <c r="AA87" s="11"/>
    </row>
    <row r="88" spans="1:28" s="17" customFormat="1">
      <c r="A88" s="12"/>
      <c r="B88" s="35"/>
      <c r="C88" s="12"/>
      <c r="D88" s="8"/>
      <c r="E88" s="23"/>
      <c r="F88" s="23"/>
      <c r="G88" s="8"/>
      <c r="H88" s="8"/>
      <c r="I88" s="169" t="s">
        <v>70</v>
      </c>
      <c r="J88" s="8" t="str">
        <f>IF(ISNA(VLOOKUP(I88,Матер!$A$2:$C$85,2,0)),0,VLOOKUP(I88,Матер!$A$2:$C$85,2,0))</f>
        <v>шт</v>
      </c>
      <c r="K88" s="10">
        <f>+D86*2</f>
        <v>56</v>
      </c>
      <c r="L88" s="8" t="s">
        <v>142</v>
      </c>
      <c r="M88" s="20"/>
      <c r="N88" s="20">
        <v>1</v>
      </c>
      <c r="O88" s="20">
        <v>1.4999999999999999E-2</v>
      </c>
      <c r="P88" s="20"/>
      <c r="Q88" s="20">
        <f t="shared" si="8"/>
        <v>0.84</v>
      </c>
      <c r="R88" s="20">
        <f t="shared" si="2"/>
        <v>0.84</v>
      </c>
      <c r="S88" s="20">
        <f t="shared" si="3"/>
        <v>0</v>
      </c>
      <c r="T88" s="20">
        <f t="shared" si="4"/>
        <v>0</v>
      </c>
      <c r="U88" s="20">
        <f t="shared" si="5"/>
        <v>0</v>
      </c>
      <c r="V88" s="20"/>
      <c r="W88"/>
      <c r="X88"/>
      <c r="Y88" s="20"/>
      <c r="AA88" s="11"/>
    </row>
    <row r="89" spans="1:28" s="17" customFormat="1" ht="25.5">
      <c r="A89" s="12">
        <v>13</v>
      </c>
      <c r="B89" s="35" t="s">
        <v>203</v>
      </c>
      <c r="C89" s="12" t="s">
        <v>15</v>
      </c>
      <c r="D89" s="16">
        <f>D25</f>
        <v>3</v>
      </c>
      <c r="E89" s="23"/>
      <c r="F89" s="23"/>
      <c r="G89" s="8"/>
      <c r="H89" s="8"/>
      <c r="I89" s="169" t="s">
        <v>57</v>
      </c>
      <c r="J89" s="8" t="s">
        <v>170</v>
      </c>
      <c r="K89" s="10">
        <f>D89*15</f>
        <v>45</v>
      </c>
      <c r="L89" s="8" t="s">
        <v>142</v>
      </c>
      <c r="M89" s="20"/>
      <c r="N89" s="20">
        <v>1</v>
      </c>
      <c r="O89" s="132">
        <v>0.26900000000000002</v>
      </c>
      <c r="P89" s="20"/>
      <c r="Q89" s="20">
        <f t="shared" si="8"/>
        <v>12.105</v>
      </c>
      <c r="R89" s="20">
        <f t="shared" si="2"/>
        <v>12.105</v>
      </c>
      <c r="S89" s="20">
        <f t="shared" si="3"/>
        <v>0</v>
      </c>
      <c r="T89" s="20">
        <f t="shared" si="4"/>
        <v>0</v>
      </c>
      <c r="U89" s="20">
        <f t="shared" si="5"/>
        <v>0</v>
      </c>
      <c r="V89" s="150" t="s">
        <v>186</v>
      </c>
      <c r="W89">
        <f>IF(ISNA(VLOOKUP(I89,Матер!$A$2:$C$85,3,0)),0,VLOOKUP(I89,Матер!$A$2:$C$85,3,0))</f>
        <v>68745</v>
      </c>
      <c r="X89"/>
      <c r="Y89" s="71" t="s">
        <v>80</v>
      </c>
      <c r="Z89" s="17">
        <v>261.55</v>
      </c>
      <c r="AA89" s="11">
        <f>+Z89*D89/1000</f>
        <v>0.78465000000000007</v>
      </c>
    </row>
    <row r="90" spans="1:28" s="17" customFormat="1">
      <c r="A90" s="12"/>
      <c r="B90" s="35"/>
      <c r="C90" s="12"/>
      <c r="D90" s="16"/>
      <c r="E90" s="23"/>
      <c r="F90" s="23"/>
      <c r="G90" s="8"/>
      <c r="H90" s="8"/>
      <c r="I90" s="169" t="s">
        <v>91</v>
      </c>
      <c r="J90" s="8" t="str">
        <f>IF(ISNA(VLOOKUP(I90,Матер!$A$2:$C$85,2,0)),0,VLOOKUP(I90,Матер!$A$2:$C$85,2,0))</f>
        <v>шт</v>
      </c>
      <c r="K90" s="10">
        <f>+D89*8</f>
        <v>24</v>
      </c>
      <c r="L90" s="8" t="s">
        <v>142</v>
      </c>
      <c r="M90" s="20"/>
      <c r="N90" s="20">
        <v>1</v>
      </c>
      <c r="O90" s="20">
        <v>0.125</v>
      </c>
      <c r="P90" s="20"/>
      <c r="Q90" s="20">
        <f t="shared" si="8"/>
        <v>3</v>
      </c>
      <c r="R90" s="20">
        <f t="shared" si="2"/>
        <v>3</v>
      </c>
      <c r="S90" s="20">
        <f t="shared" si="3"/>
        <v>0</v>
      </c>
      <c r="T90" s="20">
        <f t="shared" si="4"/>
        <v>0</v>
      </c>
      <c r="U90" s="20">
        <f t="shared" si="5"/>
        <v>0</v>
      </c>
      <c r="V90" s="20"/>
      <c r="W90">
        <f>IF(ISNA(VLOOKUP(I90,Матер!$A$2:$C$85,3,0)),0,VLOOKUP(I90,Матер!$A$2:$C$85,3,0))</f>
        <v>98</v>
      </c>
      <c r="X90"/>
      <c r="Y90" s="71"/>
      <c r="AA90" s="11"/>
    </row>
    <row r="91" spans="1:28" s="17" customFormat="1">
      <c r="A91" s="12"/>
      <c r="B91" s="35"/>
      <c r="C91" s="12"/>
      <c r="D91" s="16"/>
      <c r="E91" s="23"/>
      <c r="F91" s="23"/>
      <c r="G91" s="8"/>
      <c r="H91" s="8"/>
      <c r="I91" s="169" t="s">
        <v>87</v>
      </c>
      <c r="J91" s="8" t="str">
        <f>IF(ISNA(VLOOKUP(I91,Матер!$A$2:$C$85,2,0)),0,VLOOKUP(I91,Матер!$A$2:$C$85,2,0))</f>
        <v>шт</v>
      </c>
      <c r="K91" s="10">
        <f>+D89</f>
        <v>3</v>
      </c>
      <c r="L91" s="8" t="s">
        <v>142</v>
      </c>
      <c r="M91" s="20"/>
      <c r="N91" s="20">
        <v>1</v>
      </c>
      <c r="O91" s="20">
        <v>0.1</v>
      </c>
      <c r="P91" s="20"/>
      <c r="Q91" s="20">
        <f t="shared" si="8"/>
        <v>0.30000000000000004</v>
      </c>
      <c r="R91" s="20">
        <f t="shared" ref="R91:R102" si="9">IF(N91=$R$12,Q91,0)</f>
        <v>0.30000000000000004</v>
      </c>
      <c r="S91" s="20">
        <f t="shared" ref="S91:S103" si="10">IF(N91=$S$12,Q91,0)</f>
        <v>0</v>
      </c>
      <c r="T91" s="20">
        <f t="shared" ref="T91:T103" si="11">IF(N91=$T$12,Q91,0)</f>
        <v>0</v>
      </c>
      <c r="U91" s="20">
        <f t="shared" ref="U91:U103" si="12">IF(N91=$U$12,Q91,0)</f>
        <v>0</v>
      </c>
      <c r="V91" s="20"/>
      <c r="W91">
        <f>IF(ISNA(VLOOKUP(I91,Матер!$A$2:$C$85,3,0)),0,VLOOKUP(I91,Матер!$A$2:$C$85,3,0))</f>
        <v>20</v>
      </c>
      <c r="X91"/>
      <c r="Y91" s="71"/>
      <c r="AA91" s="11"/>
    </row>
    <row r="92" spans="1:28" s="17" customFormat="1">
      <c r="A92" s="12"/>
      <c r="B92" s="35"/>
      <c r="C92" s="12"/>
      <c r="D92" s="16"/>
      <c r="E92" s="23"/>
      <c r="F92" s="23"/>
      <c r="G92" s="8"/>
      <c r="H92" s="8"/>
      <c r="I92" s="169" t="s">
        <v>74</v>
      </c>
      <c r="J92" s="8" t="str">
        <f>IF(ISNA(VLOOKUP(I92,Матер!$A$2:$C$85,2,0)),0,VLOOKUP(I92,Матер!$A$2:$C$85,2,0))</f>
        <v>упак/50м</v>
      </c>
      <c r="K92" s="8">
        <f>(D89*2/50*100)/100</f>
        <v>0.12</v>
      </c>
      <c r="L92" s="8" t="s">
        <v>142</v>
      </c>
      <c r="M92" s="20"/>
      <c r="N92" s="20">
        <v>1</v>
      </c>
      <c r="O92" s="20">
        <v>3.9</v>
      </c>
      <c r="P92" s="20"/>
      <c r="Q92" s="20">
        <f t="shared" si="8"/>
        <v>0.46799999999999997</v>
      </c>
      <c r="R92" s="20">
        <f t="shared" si="9"/>
        <v>0.46799999999999997</v>
      </c>
      <c r="S92" s="20">
        <f t="shared" si="10"/>
        <v>0</v>
      </c>
      <c r="T92" s="20">
        <f t="shared" si="11"/>
        <v>0</v>
      </c>
      <c r="U92" s="20">
        <f t="shared" si="12"/>
        <v>0</v>
      </c>
      <c r="V92" s="20"/>
      <c r="W92">
        <f>IF(ISNA(VLOOKUP(I92,Матер!$A$2:$C$85,3,0)),0,VLOOKUP(I92,Матер!$A$2:$C$85,3,0))</f>
        <v>1500</v>
      </c>
      <c r="X92"/>
      <c r="Y92" s="20"/>
      <c r="AA92" s="11">
        <f>+Z92*D92</f>
        <v>0</v>
      </c>
    </row>
    <row r="93" spans="1:28" s="17" customFormat="1">
      <c r="A93" s="12"/>
      <c r="B93" s="35"/>
      <c r="C93" s="12"/>
      <c r="D93" s="16"/>
      <c r="E93" s="23"/>
      <c r="F93" s="23"/>
      <c r="G93" s="8"/>
      <c r="H93" s="8"/>
      <c r="I93" s="169" t="s">
        <v>72</v>
      </c>
      <c r="J93" s="8" t="str">
        <f>IF(ISNA(VLOOKUP(I93,Матер!$A$2:$C$85,2,0)),0,VLOOKUP(I93,Матер!$A$2:$C$85,2,0))</f>
        <v>упак/100шт</v>
      </c>
      <c r="K93" s="8">
        <f>+D89*0.02</f>
        <v>0.06</v>
      </c>
      <c r="L93" s="8" t="s">
        <v>142</v>
      </c>
      <c r="M93" s="20"/>
      <c r="N93" s="20">
        <v>1</v>
      </c>
      <c r="O93" s="20">
        <v>1</v>
      </c>
      <c r="P93" s="20"/>
      <c r="Q93" s="20">
        <f t="shared" si="8"/>
        <v>0.06</v>
      </c>
      <c r="R93" s="20">
        <f t="shared" si="9"/>
        <v>0.06</v>
      </c>
      <c r="S93" s="20">
        <f t="shared" si="10"/>
        <v>0</v>
      </c>
      <c r="T93" s="20">
        <f t="shared" si="11"/>
        <v>0</v>
      </c>
      <c r="U93" s="20">
        <f t="shared" si="12"/>
        <v>0</v>
      </c>
      <c r="V93" s="20"/>
      <c r="W93">
        <f>IF(ISNA(VLOOKUP(I93,Матер!$A$2:$C$85,3,0)),0,VLOOKUP(I93,Матер!$A$2:$C$85,3,0))</f>
        <v>600</v>
      </c>
      <c r="X93"/>
      <c r="Y93" s="20"/>
      <c r="AA93" s="11">
        <f>+Z93*D93</f>
        <v>0</v>
      </c>
    </row>
    <row r="94" spans="1:28" s="17" customFormat="1">
      <c r="A94" s="12"/>
      <c r="B94" s="35"/>
      <c r="C94" s="12"/>
      <c r="D94" s="16"/>
      <c r="E94" s="23"/>
      <c r="F94" s="23"/>
      <c r="G94" s="8"/>
      <c r="H94" s="8"/>
      <c r="I94" s="169" t="s">
        <v>38</v>
      </c>
      <c r="J94" s="8" t="str">
        <f>IF(ISNA(VLOOKUP(I94,Матер!$A$2:$C$85,2,0)),0,VLOOKUP(I94,Матер!$A$2:$C$85,2,0))</f>
        <v>шт</v>
      </c>
      <c r="K94" s="10">
        <f>+D89*2</f>
        <v>6</v>
      </c>
      <c r="L94" s="8" t="s">
        <v>142</v>
      </c>
      <c r="M94" s="20"/>
      <c r="N94" s="20">
        <v>1</v>
      </c>
      <c r="O94" s="20">
        <v>0.46</v>
      </c>
      <c r="P94" s="20"/>
      <c r="Q94" s="20">
        <f t="shared" si="8"/>
        <v>2.7600000000000002</v>
      </c>
      <c r="R94" s="20">
        <f t="shared" si="9"/>
        <v>2.7600000000000002</v>
      </c>
      <c r="S94" s="20">
        <f t="shared" si="10"/>
        <v>0</v>
      </c>
      <c r="T94" s="20">
        <f t="shared" si="11"/>
        <v>0</v>
      </c>
      <c r="U94" s="20">
        <f t="shared" si="12"/>
        <v>0</v>
      </c>
      <c r="V94" s="20"/>
      <c r="W94">
        <f>IF(ISNA(VLOOKUP(I94,Матер!$A$2:$C$85,3,0)),0,VLOOKUP(I94,Матер!$A$2:$C$85,3,0))</f>
        <v>66.81</v>
      </c>
      <c r="X94"/>
      <c r="Y94" s="20"/>
      <c r="AA94" s="11">
        <f>+Z94*D94</f>
        <v>0</v>
      </c>
    </row>
    <row r="95" spans="1:28" s="17" customFormat="1">
      <c r="A95" s="12"/>
      <c r="B95" s="35"/>
      <c r="C95" s="12"/>
      <c r="D95" s="16"/>
      <c r="E95" s="23"/>
      <c r="F95" s="23"/>
      <c r="G95" s="8"/>
      <c r="H95" s="8"/>
      <c r="I95" s="169" t="s">
        <v>70</v>
      </c>
      <c r="J95" s="8" t="str">
        <f>IF(ISNA(VLOOKUP(I95,Матер!$A$2:$C$85,2,0)),0,VLOOKUP(I95,Матер!$A$2:$C$85,2,0))</f>
        <v>шт</v>
      </c>
      <c r="K95" s="10">
        <f>+D89*6</f>
        <v>18</v>
      </c>
      <c r="L95" s="8" t="s">
        <v>142</v>
      </c>
      <c r="M95" s="20"/>
      <c r="N95" s="20">
        <v>1</v>
      </c>
      <c r="O95" s="20">
        <v>1.4999999999999999E-2</v>
      </c>
      <c r="P95" s="20"/>
      <c r="Q95" s="20">
        <f t="shared" si="8"/>
        <v>0.27</v>
      </c>
      <c r="R95" s="20">
        <f t="shared" si="9"/>
        <v>0.27</v>
      </c>
      <c r="S95" s="20">
        <f t="shared" si="10"/>
        <v>0</v>
      </c>
      <c r="T95" s="20">
        <f t="shared" si="11"/>
        <v>0</v>
      </c>
      <c r="U95" s="20">
        <f t="shared" si="12"/>
        <v>0</v>
      </c>
      <c r="V95" s="20"/>
      <c r="W95">
        <f>IF(ISNA(VLOOKUP(I95,Матер!$A$2:$C$85,3,0)),0,VLOOKUP(I95,Матер!$A$2:$C$85,3,0))</f>
        <v>3.5169999999999999</v>
      </c>
      <c r="X95"/>
      <c r="Y95" s="20"/>
      <c r="AA95" s="11"/>
    </row>
    <row r="96" spans="1:28" s="17" customFormat="1">
      <c r="A96" s="12">
        <v>14</v>
      </c>
      <c r="B96" s="35" t="s">
        <v>22</v>
      </c>
      <c r="C96" s="12" t="s">
        <v>15</v>
      </c>
      <c r="D96" s="8">
        <f>D26</f>
        <v>9</v>
      </c>
      <c r="E96" s="23"/>
      <c r="F96" s="23"/>
      <c r="G96" s="8"/>
      <c r="H96" s="8"/>
      <c r="I96" s="169" t="s">
        <v>69</v>
      </c>
      <c r="J96" s="8" t="str">
        <f>IF(ISNA(VLOOKUP(I96,Матер!$A$2:$C$85,2,0)),0,VLOOKUP(I96,Матер!$A$2:$C$85,2,0))</f>
        <v>шт</v>
      </c>
      <c r="K96" s="10">
        <f>+D96</f>
        <v>9</v>
      </c>
      <c r="L96" s="167" t="s">
        <v>208</v>
      </c>
      <c r="M96" s="20"/>
      <c r="N96" s="20"/>
      <c r="O96" s="20"/>
      <c r="P96" s="20"/>
      <c r="Q96" s="20">
        <f t="shared" si="8"/>
        <v>0</v>
      </c>
      <c r="R96" s="20">
        <f t="shared" si="9"/>
        <v>0</v>
      </c>
      <c r="S96" s="20">
        <f t="shared" si="10"/>
        <v>0</v>
      </c>
      <c r="T96" s="20">
        <f t="shared" si="11"/>
        <v>0</v>
      </c>
      <c r="U96" s="20">
        <f t="shared" si="12"/>
        <v>0</v>
      </c>
      <c r="V96" s="20"/>
      <c r="W96">
        <f>IF(ISNA(VLOOKUP(I96,Матер!$A$2:$C$85,3,0)),0,VLOOKUP(I96,Матер!$A$2:$C$85,3,0))</f>
        <v>0</v>
      </c>
      <c r="X96"/>
      <c r="Y96" s="71" t="s">
        <v>83</v>
      </c>
      <c r="Z96" s="32">
        <v>101.25</v>
      </c>
      <c r="AA96" s="11">
        <f>+Z96*D96/1000</f>
        <v>0.91125</v>
      </c>
      <c r="AB96" s="17">
        <f>SUM(AA89:AA96)</f>
        <v>1.6959</v>
      </c>
    </row>
    <row r="97" spans="1:27" s="17" customFormat="1">
      <c r="A97" s="12"/>
      <c r="B97" s="35"/>
      <c r="C97" s="12"/>
      <c r="D97" s="8"/>
      <c r="E97" s="23"/>
      <c r="F97" s="23"/>
      <c r="G97" s="8"/>
      <c r="H97" s="8"/>
      <c r="I97" s="169" t="s">
        <v>91</v>
      </c>
      <c r="J97" s="8" t="str">
        <f>IF(ISNA(VLOOKUP(I97,Матер!$A$2:$C$85,2,0)),0,VLOOKUP(I97,Матер!$A$2:$C$85,2,0))</f>
        <v>шт</v>
      </c>
      <c r="K97" s="10">
        <f>+D96*2</f>
        <v>18</v>
      </c>
      <c r="L97" s="8" t="s">
        <v>142</v>
      </c>
      <c r="M97" s="20"/>
      <c r="N97" s="20">
        <v>1</v>
      </c>
      <c r="O97" s="20">
        <v>0.125</v>
      </c>
      <c r="P97" s="20"/>
      <c r="Q97" s="20">
        <f t="shared" si="8"/>
        <v>2.25</v>
      </c>
      <c r="R97" s="20">
        <f t="shared" si="9"/>
        <v>2.25</v>
      </c>
      <c r="S97" s="20">
        <f t="shared" si="10"/>
        <v>0</v>
      </c>
      <c r="T97" s="20">
        <f t="shared" si="11"/>
        <v>0</v>
      </c>
      <c r="U97" s="20">
        <f t="shared" si="12"/>
        <v>0</v>
      </c>
      <c r="V97" s="20"/>
      <c r="W97">
        <f>IF(ISNA(VLOOKUP(I97,Матер!$A$2:$C$85,3,0)),0,VLOOKUP(I97,Матер!$A$2:$C$85,3,0))</f>
        <v>98</v>
      </c>
      <c r="X97"/>
      <c r="Y97" s="20"/>
      <c r="AA97" s="11">
        <f>+Z97*D97</f>
        <v>0</v>
      </c>
    </row>
    <row r="98" spans="1:27" s="17" customFormat="1">
      <c r="A98" s="12"/>
      <c r="B98" s="35"/>
      <c r="C98" s="12"/>
      <c r="D98" s="8"/>
      <c r="E98" s="23"/>
      <c r="F98" s="23"/>
      <c r="G98" s="8"/>
      <c r="H98" s="8"/>
      <c r="I98" s="169" t="s">
        <v>70</v>
      </c>
      <c r="J98" s="8" t="str">
        <f>IF(ISNA(VLOOKUP(I98,Матер!$A$2:$C$85,2,0)),0,VLOOKUP(I98,Матер!$A$2:$C$85,2,0))</f>
        <v>шт</v>
      </c>
      <c r="K98" s="10">
        <f>+D96*2</f>
        <v>18</v>
      </c>
      <c r="L98" s="8" t="s">
        <v>142</v>
      </c>
      <c r="M98" s="20"/>
      <c r="N98" s="20">
        <v>1</v>
      </c>
      <c r="O98" s="20">
        <v>1.4999999999999999E-2</v>
      </c>
      <c r="P98" s="20"/>
      <c r="Q98" s="20">
        <f t="shared" si="8"/>
        <v>0.27</v>
      </c>
      <c r="R98" s="20">
        <f t="shared" si="9"/>
        <v>0.27</v>
      </c>
      <c r="S98" s="20">
        <f t="shared" si="10"/>
        <v>0</v>
      </c>
      <c r="T98" s="20">
        <f t="shared" si="11"/>
        <v>0</v>
      </c>
      <c r="U98" s="20">
        <f t="shared" si="12"/>
        <v>0</v>
      </c>
      <c r="V98" s="20"/>
      <c r="W98">
        <f>IF(ISNA(VLOOKUP(I98,Матер!$A$2:$C$85,3,0)),0,VLOOKUP(I98,Матер!$A$2:$C$85,3,0))</f>
        <v>3.5169999999999999</v>
      </c>
      <c r="X98" t="e">
        <f>SUM(#REF!)</f>
        <v>#REF!</v>
      </c>
      <c r="Y98" s="20"/>
      <c r="AA98" s="11">
        <f>+Z98*D98</f>
        <v>0</v>
      </c>
    </row>
    <row r="99" spans="1:27" s="17" customFormat="1" ht="38.25">
      <c r="A99" s="12">
        <v>15</v>
      </c>
      <c r="B99" s="35" t="s">
        <v>23</v>
      </c>
      <c r="C99" s="12" t="s">
        <v>25</v>
      </c>
      <c r="D99" s="8">
        <f>D25</f>
        <v>3</v>
      </c>
      <c r="E99" s="23"/>
      <c r="F99" s="23"/>
      <c r="G99" s="8"/>
      <c r="H99" s="8"/>
      <c r="I99" s="169" t="s">
        <v>88</v>
      </c>
      <c r="J99" s="8" t="str">
        <f>IF(ISNA(VLOOKUP(I99,Матер!$A$2:$C$85,2,0)),0,VLOOKUP(I99,Матер!$A$2:$C$85,2,0))</f>
        <v>шт</v>
      </c>
      <c r="K99" s="10">
        <f>D99*3</f>
        <v>9</v>
      </c>
      <c r="L99" s="8" t="s">
        <v>142</v>
      </c>
      <c r="M99" s="20"/>
      <c r="N99" s="20">
        <v>1</v>
      </c>
      <c r="O99" s="20">
        <v>0.4</v>
      </c>
      <c r="P99" s="20"/>
      <c r="Q99" s="20">
        <f t="shared" si="8"/>
        <v>3.6</v>
      </c>
      <c r="R99" s="20">
        <f t="shared" si="9"/>
        <v>3.6</v>
      </c>
      <c r="S99" s="20">
        <f t="shared" si="10"/>
        <v>0</v>
      </c>
      <c r="T99" s="20">
        <f t="shared" si="11"/>
        <v>0</v>
      </c>
      <c r="U99" s="20">
        <f t="shared" si="12"/>
        <v>0</v>
      </c>
      <c r="V99" s="20"/>
      <c r="W99">
        <f>IF(ISNA(VLOOKUP(I99,Матер!$A$2:$C$85,3,0)),0,VLOOKUP(I99,Матер!$A$2:$C$85,3,0))</f>
        <v>791.3</v>
      </c>
      <c r="X99"/>
      <c r="Y99" s="71" t="s">
        <v>79</v>
      </c>
      <c r="Z99" s="17">
        <v>539.23</v>
      </c>
      <c r="AA99" s="11">
        <f>+Z99*D99/1000</f>
        <v>1.6176900000000001</v>
      </c>
    </row>
    <row r="100" spans="1:27" s="17" customFormat="1">
      <c r="A100" s="12"/>
      <c r="B100" s="35"/>
      <c r="C100" s="12"/>
      <c r="D100" s="8"/>
      <c r="E100" s="23"/>
      <c r="F100" s="23"/>
      <c r="G100" s="8"/>
      <c r="H100" s="8"/>
      <c r="I100" s="169" t="s">
        <v>46</v>
      </c>
      <c r="J100" s="8" t="s">
        <v>16</v>
      </c>
      <c r="K100" s="22">
        <f>D99*9.5*0.257</f>
        <v>7.3245000000000005</v>
      </c>
      <c r="L100" s="8" t="s">
        <v>142</v>
      </c>
      <c r="M100" s="20"/>
      <c r="N100" s="20">
        <v>1</v>
      </c>
      <c r="O100" s="22">
        <v>1</v>
      </c>
      <c r="P100" s="20"/>
      <c r="Q100" s="77">
        <f t="shared" si="8"/>
        <v>7.3245000000000005</v>
      </c>
      <c r="R100" s="77">
        <f t="shared" si="9"/>
        <v>7.3245000000000005</v>
      </c>
      <c r="S100" s="20">
        <f t="shared" si="10"/>
        <v>0</v>
      </c>
      <c r="T100" s="20">
        <f t="shared" si="11"/>
        <v>0</v>
      </c>
      <c r="U100" s="20">
        <f t="shared" si="12"/>
        <v>0</v>
      </c>
      <c r="V100" s="20"/>
      <c r="W100">
        <f>IF(ISNA(VLOOKUP(I100,Матер!$A$2:$C$85,3,0)),0,VLOOKUP(I100,Матер!$A$2:$C$85,3,0))</f>
        <v>35580</v>
      </c>
      <c r="X100"/>
      <c r="Y100" s="20"/>
      <c r="AA100" s="11">
        <f>+Z100*D100</f>
        <v>0</v>
      </c>
    </row>
    <row r="101" spans="1:27" s="17" customFormat="1">
      <c r="A101" s="12"/>
      <c r="B101" s="35"/>
      <c r="C101" s="12"/>
      <c r="D101" s="8"/>
      <c r="E101" s="23"/>
      <c r="F101" s="23"/>
      <c r="G101" s="8"/>
      <c r="H101" s="8"/>
      <c r="I101" s="169" t="s">
        <v>45</v>
      </c>
      <c r="J101" s="8" t="str">
        <f>IF(ISNA(VLOOKUP(I101,Матер!$A$2:$C$85,2,0)),0,VLOOKUP(I101,Матер!$A$2:$C$85,2,0))</f>
        <v>шт</v>
      </c>
      <c r="K101" s="10">
        <f>D99*3</f>
        <v>9</v>
      </c>
      <c r="L101" s="8" t="s">
        <v>142</v>
      </c>
      <c r="M101" s="20"/>
      <c r="N101" s="20">
        <v>1</v>
      </c>
      <c r="O101" s="20">
        <v>0.42</v>
      </c>
      <c r="P101" s="20"/>
      <c r="Q101" s="20">
        <f t="shared" si="8"/>
        <v>3.78</v>
      </c>
      <c r="R101" s="20">
        <f t="shared" si="9"/>
        <v>3.78</v>
      </c>
      <c r="S101" s="20">
        <f t="shared" si="10"/>
        <v>0</v>
      </c>
      <c r="T101" s="20">
        <f t="shared" si="11"/>
        <v>0</v>
      </c>
      <c r="U101" s="20">
        <f t="shared" si="12"/>
        <v>0</v>
      </c>
      <c r="V101" s="20"/>
      <c r="W101">
        <f>IF(ISNA(VLOOKUP(I101,Матер!$A$2:$C$85,3,0)),0,VLOOKUP(I101,Матер!$A$2:$C$85,3,0))</f>
        <v>74.13</v>
      </c>
      <c r="X101"/>
      <c r="Y101" s="20"/>
      <c r="AA101" s="11">
        <f>+Z101*D101</f>
        <v>0</v>
      </c>
    </row>
    <row r="102" spans="1:27" s="17" customFormat="1">
      <c r="A102" s="12"/>
      <c r="B102" s="35"/>
      <c r="C102" s="12"/>
      <c r="D102" s="16"/>
      <c r="E102" s="23"/>
      <c r="F102" s="23"/>
      <c r="G102" s="8"/>
      <c r="H102" s="8"/>
      <c r="I102" s="169" t="s">
        <v>70</v>
      </c>
      <c r="J102" s="8" t="str">
        <f>IF(ISNA(VLOOKUP(I102,Матер!$A$2:$C$85,2,0)),0,VLOOKUP(I102,Матер!$A$2:$C$85,2,0))</f>
        <v>шт</v>
      </c>
      <c r="K102" s="10">
        <f>K101*4</f>
        <v>36</v>
      </c>
      <c r="L102" s="8" t="s">
        <v>142</v>
      </c>
      <c r="M102" s="20"/>
      <c r="N102" s="20">
        <v>1</v>
      </c>
      <c r="O102" s="20">
        <v>1.4999999999999999E-2</v>
      </c>
      <c r="P102" s="20"/>
      <c r="Q102" s="20">
        <f t="shared" si="8"/>
        <v>0.54</v>
      </c>
      <c r="R102" s="20">
        <f t="shared" si="9"/>
        <v>0.54</v>
      </c>
      <c r="S102" s="20">
        <f t="shared" si="10"/>
        <v>0</v>
      </c>
      <c r="T102" s="20">
        <f t="shared" si="11"/>
        <v>0</v>
      </c>
      <c r="U102" s="20">
        <f t="shared" si="12"/>
        <v>0</v>
      </c>
      <c r="V102" s="20"/>
      <c r="W102">
        <f>IF(ISNA(VLOOKUP(I102,Матер!$A$2:$C$85,3,0)),0,VLOOKUP(I102,Матер!$A$2:$C$85,3,0))</f>
        <v>3.5169999999999999</v>
      </c>
      <c r="X102" t="e">
        <f>SUM(#REF!)</f>
        <v>#REF!</v>
      </c>
      <c r="Y102" s="20"/>
      <c r="AA102" s="11">
        <f>+Z102*D102</f>
        <v>0</v>
      </c>
    </row>
    <row r="103" spans="1:27" s="17" customFormat="1" ht="28.5">
      <c r="A103" s="12">
        <v>16</v>
      </c>
      <c r="B103" s="160" t="s">
        <v>161</v>
      </c>
      <c r="C103" s="39" t="s">
        <v>15</v>
      </c>
      <c r="D103" s="39">
        <f>+D13+D19</f>
        <v>37</v>
      </c>
      <c r="E103" s="23"/>
      <c r="F103" s="23"/>
      <c r="G103" s="8"/>
      <c r="H103" s="8"/>
      <c r="I103" s="18"/>
      <c r="J103" s="172"/>
      <c r="K103" s="10"/>
      <c r="L103" s="8" t="s">
        <v>142</v>
      </c>
      <c r="M103" s="20"/>
      <c r="N103" s="20"/>
      <c r="O103" s="20"/>
      <c r="P103" s="20"/>
      <c r="Q103" s="20">
        <f t="shared" si="8"/>
        <v>0</v>
      </c>
      <c r="R103" s="20">
        <f>IF(N103=$R$12,Q103,0)</f>
        <v>0</v>
      </c>
      <c r="S103" s="20">
        <f t="shared" si="10"/>
        <v>0</v>
      </c>
      <c r="T103" s="20">
        <f t="shared" si="11"/>
        <v>0</v>
      </c>
      <c r="U103" s="20">
        <f t="shared" si="12"/>
        <v>0</v>
      </c>
      <c r="V103" s="20"/>
      <c r="W103">
        <f>IF(ISNA(VLOOKUP(I103,Y$149:AA$152,3,0)),0,VLOOKUP(I103,Y$149:AA$152,3,0))</f>
        <v>0</v>
      </c>
      <c r="X103"/>
      <c r="Y103" s="20"/>
    </row>
    <row r="104" spans="1:27" s="17" customFormat="1" ht="15">
      <c r="A104" s="262" t="s">
        <v>187</v>
      </c>
      <c r="B104" s="263"/>
      <c r="C104" s="263"/>
      <c r="D104" s="263"/>
      <c r="E104" s="263"/>
      <c r="F104" s="263"/>
      <c r="G104" s="263"/>
      <c r="H104" s="263"/>
      <c r="I104" s="263"/>
      <c r="J104" s="263"/>
      <c r="K104" s="263"/>
      <c r="L104" s="264"/>
      <c r="M104" s="69"/>
      <c r="N104" s="69"/>
      <c r="O104" s="69"/>
      <c r="P104" s="69"/>
      <c r="Q104" s="123">
        <f>+SUM(Q28:Q103)</f>
        <v>52023.582120000006</v>
      </c>
      <c r="R104" s="123">
        <f>+SUM(R28:R103)</f>
        <v>51836.782120000003</v>
      </c>
      <c r="S104" s="123">
        <f>+SUM(S28:S103)</f>
        <v>0</v>
      </c>
      <c r="T104" s="123">
        <f>+SUM(T28:T103)</f>
        <v>186.8</v>
      </c>
      <c r="U104" s="123">
        <f>+SUM(U28:U103)</f>
        <v>0</v>
      </c>
      <c r="V104" s="123"/>
      <c r="W104" s="20"/>
      <c r="X104" s="20" t="e">
        <f>SUM(X29:X103)</f>
        <v>#REF!</v>
      </c>
      <c r="Y104" s="20"/>
      <c r="AA104" s="77">
        <f>SUM(AA26:AA103)</f>
        <v>87.520173499596794</v>
      </c>
    </row>
    <row r="105" spans="1:27" s="17" customFormat="1" ht="15">
      <c r="A105" s="116" t="s">
        <v>189</v>
      </c>
      <c r="B105" s="276" t="s">
        <v>151</v>
      </c>
      <c r="C105" s="277"/>
      <c r="D105" s="277"/>
      <c r="E105" s="277"/>
      <c r="F105" s="277"/>
      <c r="G105" s="277"/>
      <c r="H105" s="277"/>
      <c r="I105" s="277"/>
      <c r="J105" s="277"/>
      <c r="K105" s="277"/>
      <c r="L105" s="278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20"/>
      <c r="X105" s="20"/>
      <c r="Y105" s="20"/>
      <c r="AA105" s="77"/>
    </row>
    <row r="106" spans="1:27" s="17" customFormat="1" ht="28.5">
      <c r="A106" s="116" t="s">
        <v>193</v>
      </c>
      <c r="B106" s="160" t="s">
        <v>147</v>
      </c>
      <c r="C106" s="12" t="s">
        <v>156</v>
      </c>
      <c r="D106" s="16">
        <f>+R120/1000</f>
        <v>50.74</v>
      </c>
      <c r="E106" s="23"/>
      <c r="F106" s="23"/>
      <c r="G106" s="8"/>
      <c r="H106" s="8"/>
      <c r="I106" s="18"/>
      <c r="J106" s="172"/>
      <c r="K106" s="10"/>
      <c r="L106" s="8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20"/>
      <c r="X106" s="20"/>
      <c r="Y106" s="20"/>
      <c r="AA106" s="77"/>
    </row>
    <row r="107" spans="1:27" s="17" customFormat="1" ht="42.75">
      <c r="A107" s="116" t="s">
        <v>188</v>
      </c>
      <c r="B107" s="160" t="s">
        <v>148</v>
      </c>
      <c r="C107" s="12" t="s">
        <v>156</v>
      </c>
      <c r="D107" s="64">
        <f>+R121/1000</f>
        <v>1.0967821200000034</v>
      </c>
      <c r="E107" s="23"/>
      <c r="F107" s="23"/>
      <c r="G107" s="8"/>
      <c r="H107" s="8"/>
      <c r="I107" s="18"/>
      <c r="J107" s="172"/>
      <c r="K107" s="10"/>
      <c r="L107" s="8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20"/>
      <c r="X107" s="20"/>
      <c r="Y107" s="20"/>
      <c r="AA107" s="77"/>
    </row>
    <row r="108" spans="1:27" s="17" customFormat="1" ht="15">
      <c r="A108" s="116" t="s">
        <v>190</v>
      </c>
      <c r="B108" s="276" t="s">
        <v>152</v>
      </c>
      <c r="C108" s="277"/>
      <c r="D108" s="277"/>
      <c r="E108" s="277"/>
      <c r="F108" s="277"/>
      <c r="G108" s="277"/>
      <c r="H108" s="277"/>
      <c r="I108" s="277"/>
      <c r="J108" s="277"/>
      <c r="K108" s="277"/>
      <c r="L108" s="278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20"/>
      <c r="X108" s="20"/>
      <c r="Y108" s="20"/>
      <c r="AA108" s="77"/>
    </row>
    <row r="109" spans="1:27" s="17" customFormat="1" ht="71.25">
      <c r="A109" s="116" t="s">
        <v>191</v>
      </c>
      <c r="B109" s="173" t="str">
        <f>CONCATENATE("Перевозка стоек автомобилями бортовыми грузоподъемностью до 15т, на расстояние до ",F119," км I класс груза")</f>
        <v>Перевозка стоек автомобилями бортовыми грузоподъемностью до 15т, на расстояние до 91 км I класс груза</v>
      </c>
      <c r="C109" s="12" t="s">
        <v>156</v>
      </c>
      <c r="D109" s="16">
        <f>+R120/1000</f>
        <v>50.74</v>
      </c>
      <c r="E109" s="23"/>
      <c r="F109" s="23"/>
      <c r="G109" s="23"/>
      <c r="H109" s="23"/>
      <c r="I109" s="23"/>
      <c r="J109" s="172"/>
      <c r="K109" s="10"/>
      <c r="L109" s="8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20"/>
      <c r="X109" s="20"/>
      <c r="Y109" s="20"/>
      <c r="AA109" s="77"/>
    </row>
    <row r="110" spans="1:27" s="17" customFormat="1" ht="71.25">
      <c r="A110" s="116" t="s">
        <v>192</v>
      </c>
      <c r="B110" s="160" t="str">
        <f>CONCATENATE("Перевозка грузов автомобилями бортовыми грузоподъемностью до 15т, на расстояние до ",F121-30," км I класс груза")</f>
        <v>Перевозка грузов автомобилями бортовыми грузоподъемностью до 15т, на расстояние до 55 км I класс груза</v>
      </c>
      <c r="C110" s="12" t="s">
        <v>156</v>
      </c>
      <c r="D110" s="64">
        <f>(R121+T121)/1000</f>
        <v>1.2835821200000035</v>
      </c>
      <c r="E110" s="32"/>
      <c r="F110" s="23"/>
      <c r="G110" s="8"/>
      <c r="H110" s="8"/>
      <c r="I110" s="8"/>
      <c r="J110" s="172"/>
      <c r="K110" s="10"/>
      <c r="L110" s="8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20"/>
      <c r="X110" s="20"/>
      <c r="Y110" s="20"/>
      <c r="AA110" s="77"/>
    </row>
    <row r="111" spans="1:27" s="17" customFormat="1" ht="15">
      <c r="A111" s="116" t="s">
        <v>194</v>
      </c>
      <c r="B111" s="276" t="s">
        <v>204</v>
      </c>
      <c r="C111" s="277"/>
      <c r="D111" s="277"/>
      <c r="E111" s="277"/>
      <c r="F111" s="277"/>
      <c r="G111" s="277"/>
      <c r="H111" s="277"/>
      <c r="I111" s="277"/>
      <c r="J111" s="277"/>
      <c r="K111" s="277"/>
      <c r="L111" s="278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20"/>
      <c r="X111" s="20"/>
      <c r="Y111" s="20"/>
      <c r="AA111" s="77"/>
    </row>
    <row r="112" spans="1:27" s="17" customFormat="1" ht="42.75">
      <c r="A112" s="116" t="s">
        <v>195</v>
      </c>
      <c r="B112" s="160" t="s">
        <v>149</v>
      </c>
      <c r="C112" s="12" t="s">
        <v>156</v>
      </c>
      <c r="D112" s="16">
        <f>+D106</f>
        <v>50.74</v>
      </c>
      <c r="E112" s="23"/>
      <c r="F112" s="23"/>
      <c r="G112" s="8"/>
      <c r="H112" s="8"/>
      <c r="I112" s="18"/>
      <c r="J112" s="172"/>
      <c r="K112" s="10"/>
      <c r="L112" s="8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20"/>
      <c r="X112" s="20"/>
      <c r="Y112" s="20"/>
      <c r="AA112" s="77"/>
    </row>
    <row r="113" spans="1:27" s="17" customFormat="1" ht="42.75">
      <c r="A113" s="116" t="s">
        <v>196</v>
      </c>
      <c r="B113" s="160" t="s">
        <v>150</v>
      </c>
      <c r="C113" s="12" t="s">
        <v>156</v>
      </c>
      <c r="D113" s="64">
        <f>+D107</f>
        <v>1.0967821200000034</v>
      </c>
      <c r="E113" s="23"/>
      <c r="F113" s="23"/>
      <c r="G113" s="8"/>
      <c r="H113" s="8"/>
      <c r="I113" s="18"/>
      <c r="J113" s="172"/>
      <c r="K113" s="10"/>
      <c r="L113" s="8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20"/>
      <c r="X113" s="20"/>
      <c r="Y113" s="20"/>
      <c r="AA113" s="77"/>
    </row>
    <row r="114" spans="1:27" s="17" customFormat="1" ht="15">
      <c r="A114" s="116" t="s">
        <v>197</v>
      </c>
      <c r="B114" s="276" t="s">
        <v>153</v>
      </c>
      <c r="C114" s="277"/>
      <c r="D114" s="277"/>
      <c r="E114" s="277"/>
      <c r="F114" s="277"/>
      <c r="G114" s="277"/>
      <c r="H114" s="277"/>
      <c r="I114" s="277"/>
      <c r="J114" s="277"/>
      <c r="K114" s="277"/>
      <c r="L114" s="278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20"/>
      <c r="X114" s="20"/>
      <c r="Y114" s="20"/>
      <c r="AA114" s="77"/>
    </row>
    <row r="115" spans="1:27" s="17" customFormat="1" ht="71.25">
      <c r="A115" s="116" t="s">
        <v>198</v>
      </c>
      <c r="B115" s="160" t="s">
        <v>154</v>
      </c>
      <c r="C115" s="12" t="s">
        <v>156</v>
      </c>
      <c r="D115" s="64">
        <f>+P120/1000</f>
        <v>20.29</v>
      </c>
      <c r="E115" s="23"/>
      <c r="F115" s="23"/>
      <c r="G115" s="8"/>
      <c r="H115" s="8"/>
      <c r="I115" s="18"/>
      <c r="J115" s="172"/>
      <c r="K115" s="10"/>
      <c r="L115" s="8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20"/>
      <c r="X115" s="20"/>
      <c r="Y115" s="20"/>
      <c r="AA115" s="77"/>
    </row>
    <row r="116" spans="1:27" s="17" customFormat="1" ht="71.25">
      <c r="A116" s="116" t="s">
        <v>199</v>
      </c>
      <c r="B116" s="160" t="s">
        <v>155</v>
      </c>
      <c r="C116" s="12" t="s">
        <v>156</v>
      </c>
      <c r="D116" s="64">
        <f>+P121/1000</f>
        <v>0.4423119999999981</v>
      </c>
      <c r="E116" s="23"/>
      <c r="F116" s="23"/>
      <c r="G116" s="8"/>
      <c r="H116" s="8"/>
      <c r="I116" s="18"/>
      <c r="J116" s="172"/>
      <c r="K116" s="10"/>
      <c r="L116" s="8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20"/>
      <c r="X116" s="20"/>
      <c r="Y116" s="20"/>
      <c r="AA116" s="77"/>
    </row>
    <row r="117" spans="1:27" s="17" customFormat="1" ht="85.5">
      <c r="A117" s="116" t="s">
        <v>200</v>
      </c>
      <c r="B117" s="173" t="str">
        <f>CONCATENATE("Перевозка строительного мусора автомобилями-самосвалами  грузоподъемностью до 10т, на расстояние до ",F122," км I класс груза")</f>
        <v>Перевозка строительного мусора автомобилями-самосвалами  грузоподъемностью до 10т, на расстояние до 91 км I класс груза</v>
      </c>
      <c r="C117" s="12" t="s">
        <v>156</v>
      </c>
      <c r="D117" s="64">
        <f>+D115+D116</f>
        <v>20.732311999999997</v>
      </c>
      <c r="E117" s="23"/>
      <c r="F117" s="23"/>
      <c r="G117" s="8"/>
      <c r="H117" s="8"/>
      <c r="I117" s="18"/>
      <c r="J117" s="172"/>
      <c r="K117" s="10"/>
      <c r="L117" s="8"/>
      <c r="M117" s="69"/>
      <c r="N117" s="69"/>
      <c r="O117" s="69"/>
      <c r="P117" s="69"/>
      <c r="Q117" s="69"/>
      <c r="R117" s="69">
        <v>1</v>
      </c>
      <c r="S117" s="69">
        <v>2</v>
      </c>
      <c r="T117" s="69">
        <v>3</v>
      </c>
      <c r="U117" s="69">
        <v>4</v>
      </c>
      <c r="V117" s="69"/>
      <c r="W117" s="20"/>
      <c r="X117" s="20"/>
      <c r="Y117" s="20"/>
      <c r="AA117" s="77"/>
    </row>
    <row r="118" spans="1:27" s="17" customFormat="1">
      <c r="A118" s="24"/>
      <c r="B118" s="25" t="s">
        <v>157</v>
      </c>
      <c r="C118" s="26"/>
      <c r="D118" s="27"/>
      <c r="F118" s="161"/>
      <c r="G118" s="20"/>
      <c r="H118" s="20"/>
      <c r="I118" s="28"/>
      <c r="J118" s="29"/>
      <c r="K118" s="30"/>
      <c r="L118" s="20"/>
      <c r="M118" s="69"/>
      <c r="N118" s="69"/>
      <c r="O118" s="69" t="s">
        <v>167</v>
      </c>
      <c r="P118" s="124">
        <f>SUM(P13:P27)</f>
        <v>20732.311999999998</v>
      </c>
      <c r="Q118" s="17" t="s">
        <v>175</v>
      </c>
      <c r="R118" s="133">
        <f>+R104</f>
        <v>51836.782120000003</v>
      </c>
      <c r="S118" s="133">
        <f t="shared" ref="S118:U118" si="13">+S104</f>
        <v>0</v>
      </c>
      <c r="T118" s="133">
        <f t="shared" si="13"/>
        <v>186.8</v>
      </c>
      <c r="U118" s="133">
        <f t="shared" si="13"/>
        <v>0</v>
      </c>
      <c r="V118" s="69"/>
      <c r="W118" s="20"/>
      <c r="X118" s="20"/>
      <c r="Y118" s="20"/>
      <c r="AA118" s="77"/>
    </row>
    <row r="119" spans="1:27" s="17" customFormat="1">
      <c r="A119" s="24"/>
      <c r="B119" s="139" t="s">
        <v>158</v>
      </c>
      <c r="D119" s="27"/>
      <c r="F119" s="162">
        <v>91</v>
      </c>
      <c r="G119" s="140" t="s">
        <v>14</v>
      </c>
      <c r="H119" s="20"/>
      <c r="I119" s="28"/>
      <c r="J119" s="29"/>
      <c r="K119" s="30"/>
      <c r="L119" s="20"/>
      <c r="M119" s="69"/>
      <c r="N119" s="69"/>
      <c r="O119" s="69"/>
      <c r="P119" s="124"/>
      <c r="R119" s="133"/>
      <c r="S119" s="133"/>
      <c r="T119" s="133"/>
      <c r="U119" s="133"/>
      <c r="V119" s="69"/>
      <c r="W119" s="20"/>
      <c r="X119" s="20"/>
      <c r="Y119" s="20"/>
      <c r="AA119" s="77"/>
    </row>
    <row r="120" spans="1:27" s="17" customFormat="1">
      <c r="A120" s="24"/>
      <c r="B120" s="25" t="s">
        <v>159</v>
      </c>
      <c r="D120" s="27"/>
      <c r="F120" s="163">
        <f>+R120/1000</f>
        <v>50.74</v>
      </c>
      <c r="G120" s="140" t="s">
        <v>27</v>
      </c>
      <c r="H120" s="20"/>
      <c r="J120" s="29"/>
      <c r="K120" s="30"/>
      <c r="L120" s="20"/>
      <c r="M120" s="69"/>
      <c r="N120" s="69"/>
      <c r="O120" s="69" t="s">
        <v>176</v>
      </c>
      <c r="P120" s="137">
        <f>+P13+P19+P22</f>
        <v>20290</v>
      </c>
      <c r="Q120" s="69" t="s">
        <v>172</v>
      </c>
      <c r="R120" s="138">
        <f>R30+R43</f>
        <v>50740</v>
      </c>
      <c r="S120" s="69"/>
      <c r="U120" s="69"/>
      <c r="V120" s="69"/>
      <c r="W120" s="20"/>
      <c r="X120" s="20"/>
      <c r="Y120" s="20"/>
      <c r="AA120" s="77"/>
    </row>
    <row r="121" spans="1:27" s="17" customFormat="1">
      <c r="A121" s="24"/>
      <c r="B121" s="17" t="s">
        <v>213</v>
      </c>
      <c r="F121" s="161">
        <v>85</v>
      </c>
      <c r="G121" s="17" t="s">
        <v>14</v>
      </c>
      <c r="H121" s="20"/>
      <c r="I121" s="28"/>
      <c r="J121" s="29"/>
      <c r="K121" s="30"/>
      <c r="L121" s="20"/>
      <c r="M121" s="69"/>
      <c r="N121" s="69"/>
      <c r="O121" s="69" t="s">
        <v>33</v>
      </c>
      <c r="P121" s="124">
        <f>+P118-P120</f>
        <v>442.31199999999808</v>
      </c>
      <c r="Q121" s="69" t="s">
        <v>173</v>
      </c>
      <c r="R121" s="123">
        <f>R118-R120</f>
        <v>1096.7821200000035</v>
      </c>
      <c r="S121" s="69"/>
      <c r="T121" s="123">
        <f>T118</f>
        <v>186.8</v>
      </c>
      <c r="U121" s="69"/>
      <c r="V121" s="69"/>
      <c r="W121" s="20"/>
      <c r="X121" s="20"/>
      <c r="Y121" s="20"/>
      <c r="AA121" s="77"/>
    </row>
    <row r="122" spans="1:27" s="17" customFormat="1">
      <c r="A122" s="24"/>
      <c r="B122" s="139" t="s">
        <v>153</v>
      </c>
      <c r="D122" s="27"/>
      <c r="F122" s="162">
        <v>91</v>
      </c>
      <c r="G122" s="140" t="s">
        <v>14</v>
      </c>
      <c r="H122" s="20"/>
      <c r="I122" s="28"/>
      <c r="J122" s="29"/>
      <c r="K122" s="30"/>
      <c r="L122" s="20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20"/>
      <c r="X122" s="20"/>
      <c r="Y122" s="20"/>
      <c r="AA122" s="77"/>
    </row>
    <row r="123" spans="1:27" s="17" customFormat="1">
      <c r="A123" s="24"/>
      <c r="B123" s="139" t="s">
        <v>160</v>
      </c>
      <c r="D123" s="27"/>
      <c r="F123" s="164">
        <f>P118/1000</f>
        <v>20.732311999999997</v>
      </c>
      <c r="G123" s="140" t="s">
        <v>27</v>
      </c>
      <c r="H123" s="20"/>
      <c r="I123" s="28"/>
      <c r="J123" s="29"/>
      <c r="K123" s="30"/>
      <c r="L123" s="20"/>
      <c r="M123" s="69"/>
      <c r="N123" s="69"/>
      <c r="O123" s="69"/>
      <c r="P123" s="69"/>
      <c r="Q123" s="69"/>
      <c r="R123" s="69">
        <f>+SUM(R120:U121)-Q104</f>
        <v>0</v>
      </c>
      <c r="S123" s="69"/>
      <c r="T123" s="69"/>
      <c r="U123" s="69"/>
      <c r="V123" s="69"/>
      <c r="W123" s="20"/>
      <c r="X123" s="20"/>
      <c r="Y123" s="20"/>
      <c r="AA123" s="77"/>
    </row>
    <row r="124" spans="1:27" s="17" customFormat="1">
      <c r="A124" s="24"/>
      <c r="B124" s="25"/>
      <c r="C124" s="26"/>
      <c r="D124" s="27"/>
      <c r="F124" s="161"/>
      <c r="G124" s="20"/>
      <c r="H124" s="20"/>
      <c r="I124" s="28"/>
      <c r="J124" s="29"/>
      <c r="K124" s="30"/>
      <c r="L124" s="20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20"/>
      <c r="X124" s="20"/>
      <c r="Y124" s="20"/>
      <c r="AA124" s="77"/>
    </row>
    <row r="125" spans="1:27" s="17" customFormat="1">
      <c r="A125" s="24"/>
      <c r="B125" s="139" t="s">
        <v>211</v>
      </c>
      <c r="C125" s="26"/>
      <c r="D125" s="27"/>
      <c r="G125" s="20"/>
      <c r="H125" s="20"/>
      <c r="I125" s="28"/>
      <c r="J125" s="29"/>
      <c r="K125" s="30"/>
      <c r="L125" s="20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20"/>
      <c r="X125" s="20"/>
      <c r="Y125" s="20"/>
      <c r="AA125" s="77"/>
    </row>
    <row r="126" spans="1:27" s="17" customFormat="1">
      <c r="A126" s="24"/>
      <c r="B126" s="25"/>
      <c r="C126" s="26"/>
      <c r="D126" s="27"/>
      <c r="G126" s="20"/>
      <c r="H126" s="20"/>
      <c r="I126" s="28"/>
      <c r="J126" s="29"/>
      <c r="K126" s="30"/>
      <c r="L126" s="20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20"/>
      <c r="X126" s="20"/>
      <c r="Y126" s="20"/>
      <c r="AA126" s="77"/>
    </row>
    <row r="127" spans="1:27" s="17" customFormat="1">
      <c r="A127" s="273" t="s">
        <v>212</v>
      </c>
      <c r="B127" s="273"/>
      <c r="C127" s="273"/>
      <c r="D127" s="273"/>
      <c r="E127" s="273"/>
      <c r="F127" s="273"/>
      <c r="G127" s="273"/>
      <c r="H127" s="273"/>
      <c r="I127" s="273"/>
      <c r="J127" s="273"/>
      <c r="K127" s="273"/>
      <c r="L127" s="273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20"/>
      <c r="X127" s="20"/>
      <c r="Y127" s="20"/>
      <c r="AA127" s="77"/>
    </row>
    <row r="128" spans="1:27" s="17" customFormat="1">
      <c r="A128" s="24"/>
      <c r="B128" s="25"/>
      <c r="C128" s="26"/>
      <c r="D128" s="27"/>
      <c r="G128" s="20"/>
      <c r="H128" s="20"/>
      <c r="I128" s="28"/>
      <c r="J128" s="29"/>
      <c r="K128" s="30"/>
      <c r="L128" s="20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20"/>
      <c r="X128" s="20"/>
      <c r="Y128" s="20"/>
      <c r="AA128" s="77"/>
    </row>
    <row r="129" spans="1:30" s="17" customFormat="1">
      <c r="A129" s="24"/>
      <c r="B129" s="25"/>
      <c r="C129" s="26"/>
      <c r="D129" s="27"/>
      <c r="G129" s="20"/>
      <c r="H129" s="20"/>
      <c r="I129" s="28"/>
      <c r="J129" s="29"/>
      <c r="K129" s="30"/>
      <c r="L129" s="20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20"/>
      <c r="X129" s="20"/>
      <c r="Y129" s="20"/>
      <c r="AA129" s="77"/>
    </row>
    <row r="130" spans="1:30" s="17" customFormat="1">
      <c r="A130" s="24"/>
      <c r="B130" s="25"/>
      <c r="C130" s="26"/>
      <c r="D130" s="27"/>
      <c r="G130" s="20"/>
      <c r="H130" s="20"/>
      <c r="I130" s="28"/>
      <c r="J130" s="29"/>
      <c r="K130" s="30"/>
      <c r="L130" s="20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20"/>
      <c r="X130" s="20"/>
      <c r="Y130" s="20"/>
      <c r="AA130" s="77"/>
    </row>
    <row r="131" spans="1:30" s="17" customFormat="1">
      <c r="A131" s="24"/>
      <c r="B131" s="25"/>
      <c r="C131" s="26"/>
      <c r="D131" s="27"/>
      <c r="G131" s="20"/>
      <c r="H131" s="20"/>
      <c r="I131" s="28"/>
      <c r="J131" s="29"/>
      <c r="K131" s="30"/>
      <c r="L131" s="20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20"/>
      <c r="X131" s="20"/>
      <c r="Y131" s="20"/>
      <c r="AA131" s="77"/>
    </row>
    <row r="132" spans="1:30" s="17" customFormat="1">
      <c r="A132" s="24"/>
      <c r="B132" s="25"/>
      <c r="C132" s="26"/>
      <c r="D132" s="27"/>
      <c r="G132" s="20"/>
      <c r="H132" s="20"/>
      <c r="I132" s="28"/>
      <c r="J132" s="29"/>
      <c r="K132" s="30"/>
      <c r="L132" s="20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20"/>
      <c r="X132" s="20"/>
      <c r="Y132" s="20"/>
      <c r="AA132" s="77"/>
    </row>
    <row r="133" spans="1:30" s="17" customFormat="1">
      <c r="A133" s="24"/>
      <c r="B133" s="25"/>
      <c r="C133" s="26"/>
      <c r="D133" s="27"/>
      <c r="G133" s="20"/>
      <c r="H133" s="20"/>
      <c r="I133" s="28"/>
      <c r="J133" s="29"/>
      <c r="K133" s="30"/>
      <c r="L133" s="20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20"/>
      <c r="X133" s="20"/>
      <c r="Y133" s="20"/>
      <c r="AA133" s="77"/>
    </row>
    <row r="134" spans="1:30" s="17" customFormat="1">
      <c r="A134" s="24"/>
      <c r="B134" s="25"/>
      <c r="C134" s="26"/>
      <c r="D134" s="27"/>
      <c r="G134" s="20"/>
      <c r="H134" s="20"/>
      <c r="I134" s="28"/>
      <c r="J134" s="29"/>
      <c r="K134" s="30"/>
      <c r="L134" s="20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20"/>
      <c r="X134" s="20"/>
      <c r="Y134" s="20"/>
      <c r="AA134" s="77"/>
    </row>
    <row r="135" spans="1:30" s="17" customFormat="1">
      <c r="A135" s="24"/>
      <c r="B135" s="25"/>
      <c r="C135" s="26"/>
      <c r="D135" s="27"/>
      <c r="G135" s="20"/>
      <c r="H135" s="20"/>
      <c r="I135" s="28"/>
      <c r="J135" s="29"/>
      <c r="K135" s="30"/>
      <c r="L135" s="20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20"/>
      <c r="X135" s="20"/>
      <c r="Y135" s="20"/>
      <c r="AA135" s="77"/>
    </row>
    <row r="136" spans="1:30" s="17" customFormat="1">
      <c r="A136" s="24"/>
      <c r="B136" s="25"/>
      <c r="C136" s="26"/>
      <c r="D136" s="27"/>
      <c r="G136" s="20"/>
      <c r="H136" s="20"/>
      <c r="I136" s="28"/>
      <c r="J136" s="29"/>
      <c r="K136" s="30"/>
      <c r="L136" s="20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20"/>
      <c r="X136" s="20"/>
      <c r="Y136" s="20"/>
      <c r="AA136" s="77"/>
    </row>
    <row r="137" spans="1:30" s="17" customFormat="1">
      <c r="A137" s="24"/>
      <c r="B137" s="25"/>
      <c r="C137" s="26"/>
      <c r="D137" s="27"/>
      <c r="G137" s="20"/>
      <c r="H137" s="20"/>
      <c r="I137" s="28"/>
      <c r="J137" s="29"/>
      <c r="K137" s="30"/>
      <c r="L137" s="20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20"/>
      <c r="X137" s="20"/>
      <c r="Y137" s="20"/>
      <c r="AA137" s="77"/>
    </row>
    <row r="138" spans="1:30" s="17" customFormat="1">
      <c r="A138" s="24"/>
      <c r="B138" s="25"/>
      <c r="C138" s="26"/>
      <c r="D138" s="27"/>
      <c r="G138" s="20"/>
      <c r="H138" s="20"/>
      <c r="I138" s="28"/>
      <c r="J138" s="29"/>
      <c r="K138" s="30"/>
      <c r="L138" s="20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20"/>
      <c r="X138" s="20"/>
      <c r="Y138" s="20"/>
      <c r="AA138" s="77"/>
    </row>
    <row r="139" spans="1:30" s="17" customFormat="1">
      <c r="A139" s="24"/>
      <c r="B139" s="25"/>
      <c r="C139" s="26"/>
      <c r="D139" s="27"/>
      <c r="G139" s="20"/>
      <c r="H139" s="20"/>
      <c r="I139" s="28"/>
      <c r="J139" s="29"/>
      <c r="K139" s="30"/>
      <c r="L139" s="20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20"/>
      <c r="X139" s="20"/>
      <c r="Y139" s="20"/>
      <c r="AA139" s="77"/>
    </row>
    <row r="140" spans="1:30" s="17" customFormat="1">
      <c r="A140" s="24"/>
      <c r="B140" s="25"/>
      <c r="C140" s="26"/>
      <c r="D140" s="27"/>
      <c r="G140" s="20"/>
      <c r="H140" s="20"/>
      <c r="I140" s="28"/>
      <c r="J140" s="29"/>
      <c r="K140" s="30"/>
      <c r="L140" s="20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20"/>
      <c r="X140" s="20"/>
      <c r="Y140" s="20"/>
      <c r="AA140" s="77"/>
    </row>
    <row r="141" spans="1:30" s="17" customFormat="1">
      <c r="A141" s="24"/>
      <c r="B141" t="s">
        <v>130</v>
      </c>
      <c r="C141"/>
      <c r="D141" t="s">
        <v>131</v>
      </c>
      <c r="G141" s="20"/>
      <c r="H141" s="20"/>
      <c r="I141" s="28"/>
      <c r="J141" s="29"/>
      <c r="K141" s="3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</row>
    <row r="142" spans="1:30" s="17" customFormat="1">
      <c r="A142" s="24"/>
      <c r="B142"/>
      <c r="C142"/>
      <c r="D142"/>
      <c r="G142" s="20"/>
      <c r="H142" s="20"/>
      <c r="I142" s="28"/>
      <c r="J142" s="29"/>
      <c r="K142" s="3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 t="str">
        <f>+F8</f>
        <v xml:space="preserve">"ВЛ-04кВ от КТП-612/100 Ф№2 Сайгуты </v>
      </c>
      <c r="AA142" s="17" t="s">
        <v>116</v>
      </c>
      <c r="AB142" s="17" t="s">
        <v>116</v>
      </c>
      <c r="AC142" s="17" t="s">
        <v>107</v>
      </c>
    </row>
    <row r="143" spans="1:30" s="17" customFormat="1">
      <c r="A143" s="24"/>
      <c r="B143" t="s">
        <v>132</v>
      </c>
      <c r="C143"/>
      <c r="D143" t="s">
        <v>133</v>
      </c>
      <c r="G143" s="20"/>
      <c r="H143" s="20"/>
      <c r="I143" s="28"/>
      <c r="J143" s="29"/>
      <c r="K143" s="3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 t="s">
        <v>99</v>
      </c>
      <c r="Z143" s="17">
        <f>+D30</f>
        <v>6</v>
      </c>
      <c r="AA143" s="17">
        <v>9.6300000000000008</v>
      </c>
      <c r="AB143" s="17">
        <f>+Z143*AA143</f>
        <v>57.78</v>
      </c>
      <c r="AC143" s="17" t="e">
        <f>+SUM(#REF!)</f>
        <v>#REF!</v>
      </c>
      <c r="AD143" s="17" t="e">
        <f>+ROUNDUP(AC143/1000,1)</f>
        <v>#REF!</v>
      </c>
    </row>
    <row r="144" spans="1:30" s="17" customFormat="1">
      <c r="A144" s="24"/>
      <c r="B144"/>
      <c r="C144"/>
      <c r="D144"/>
      <c r="G144" s="20"/>
      <c r="H144" s="20"/>
      <c r="I144" s="28"/>
      <c r="J144" s="29"/>
      <c r="K144" s="3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 t="s">
        <v>100</v>
      </c>
      <c r="Z144" s="17">
        <f>+D43+D54</f>
        <v>31</v>
      </c>
      <c r="AA144" s="17">
        <v>5.36</v>
      </c>
      <c r="AB144" s="17">
        <f t="shared" ref="AB144:AB149" si="14">+Z144*AA144</f>
        <v>166.16</v>
      </c>
      <c r="AC144" s="17" t="e">
        <f>+SUM(#REF!)</f>
        <v>#REF!</v>
      </c>
      <c r="AD144" s="17" t="e">
        <f t="shared" ref="AD144:AD149" si="15">+ROUNDUP(AC144/1000,1)</f>
        <v>#REF!</v>
      </c>
    </row>
    <row r="145" spans="1:30" s="17" customFormat="1">
      <c r="A145" s="24"/>
      <c r="B145" t="s">
        <v>134</v>
      </c>
      <c r="C145"/>
      <c r="D145" t="s">
        <v>135</v>
      </c>
      <c r="G145" s="20"/>
      <c r="H145" s="20"/>
      <c r="I145" s="28"/>
      <c r="J145" s="29"/>
      <c r="K145" s="3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 t="s">
        <v>102</v>
      </c>
      <c r="Z145" s="17" t="e">
        <f>+#REF!</f>
        <v>#REF!</v>
      </c>
      <c r="AA145" s="17">
        <v>1</v>
      </c>
      <c r="AB145" s="17" t="e">
        <f t="shared" si="14"/>
        <v>#REF!</v>
      </c>
      <c r="AC145" s="17" t="e">
        <f>+SUM(#REF!)</f>
        <v>#REF!</v>
      </c>
      <c r="AD145" s="17" t="e">
        <f t="shared" si="15"/>
        <v>#REF!</v>
      </c>
    </row>
    <row r="146" spans="1:30" s="17" customFormat="1">
      <c r="A146" s="24"/>
      <c r="B146"/>
      <c r="C146"/>
      <c r="D146"/>
      <c r="G146" s="20"/>
      <c r="H146" s="20"/>
      <c r="I146" s="28"/>
      <c r="J146" s="29"/>
      <c r="K146" s="3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 t="s">
        <v>101</v>
      </c>
      <c r="Z146" s="17">
        <f>+D69</f>
        <v>0</v>
      </c>
      <c r="AA146" s="17">
        <v>1.08</v>
      </c>
      <c r="AB146" s="17">
        <f t="shared" si="14"/>
        <v>0</v>
      </c>
      <c r="AC146" s="17" t="e">
        <f>+SUM(#REF!)</f>
        <v>#REF!</v>
      </c>
      <c r="AD146" s="17" t="e">
        <f t="shared" si="15"/>
        <v>#REF!</v>
      </c>
    </row>
    <row r="147" spans="1:30" s="17" customFormat="1">
      <c r="A147" s="24"/>
      <c r="B147" t="s">
        <v>136</v>
      </c>
      <c r="C147"/>
      <c r="D147" t="s">
        <v>137</v>
      </c>
      <c r="G147" s="20"/>
      <c r="H147" s="20"/>
      <c r="I147" s="28"/>
      <c r="J147" s="29"/>
      <c r="K147" s="3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 t="s">
        <v>103</v>
      </c>
      <c r="Z147" s="17">
        <f>+D89</f>
        <v>3</v>
      </c>
      <c r="AA147" s="17">
        <v>2</v>
      </c>
      <c r="AB147" s="17">
        <f t="shared" si="14"/>
        <v>6</v>
      </c>
      <c r="AC147" s="17" t="e">
        <f>+SUM(#REF!)</f>
        <v>#REF!</v>
      </c>
      <c r="AD147" s="17" t="e">
        <f t="shared" si="15"/>
        <v>#REF!</v>
      </c>
    </row>
    <row r="148" spans="1:30" s="17" customFormat="1">
      <c r="A148" s="24"/>
      <c r="B148"/>
      <c r="C148"/>
      <c r="D148"/>
      <c r="G148" s="20"/>
      <c r="H148" s="20"/>
      <c r="I148" s="28"/>
      <c r="J148" s="29"/>
      <c r="K148" s="3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 t="s">
        <v>104</v>
      </c>
      <c r="Z148" s="17">
        <f>+D99</f>
        <v>3</v>
      </c>
      <c r="AA148" s="17">
        <v>2.08</v>
      </c>
      <c r="AB148" s="17">
        <f t="shared" si="14"/>
        <v>6.24</v>
      </c>
      <c r="AC148" s="17" t="e">
        <f>+SUM(#REF!)</f>
        <v>#REF!</v>
      </c>
      <c r="AD148" s="17" t="e">
        <f t="shared" si="15"/>
        <v>#REF!</v>
      </c>
    </row>
    <row r="149" spans="1:30" s="17" customFormat="1">
      <c r="A149" s="24"/>
      <c r="B149"/>
      <c r="C149"/>
      <c r="D149"/>
      <c r="G149" s="20"/>
      <c r="H149" s="20"/>
      <c r="I149" s="28"/>
      <c r="J149" s="29"/>
      <c r="K149" s="3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 t="s">
        <v>105</v>
      </c>
      <c r="Z149" s="17">
        <f>+D28</f>
        <v>0.49199999999999999</v>
      </c>
      <c r="AA149" s="17">
        <v>36.6</v>
      </c>
      <c r="AB149" s="17">
        <f t="shared" si="14"/>
        <v>18.007200000000001</v>
      </c>
      <c r="AC149" s="17" t="e">
        <f>+SUM(#REF!)+SUM(#REF!)</f>
        <v>#REF!</v>
      </c>
      <c r="AD149" s="17" t="e">
        <f t="shared" si="15"/>
        <v>#REF!</v>
      </c>
    </row>
    <row r="150" spans="1:30">
      <c r="AB150" t="e">
        <f>SUM(AB143:AB149)</f>
        <v>#REF!</v>
      </c>
      <c r="AC150" t="e">
        <f>SUM(AC143:AC149)</f>
        <v>#REF!</v>
      </c>
    </row>
    <row r="151" spans="1:30">
      <c r="AC151" s="98" t="e">
        <f>+#REF!-AC150</f>
        <v>#REF!</v>
      </c>
    </row>
  </sheetData>
  <mergeCells count="11">
    <mergeCell ref="A127:L127"/>
    <mergeCell ref="K8:L8"/>
    <mergeCell ref="O10:Q10"/>
    <mergeCell ref="M11:N11"/>
    <mergeCell ref="P11:Q11"/>
    <mergeCell ref="B114:L114"/>
    <mergeCell ref="R11:U11"/>
    <mergeCell ref="A104:L104"/>
    <mergeCell ref="B105:L105"/>
    <mergeCell ref="B108:L108"/>
    <mergeCell ref="B111:L111"/>
  </mergeCells>
  <dataValidations count="1">
    <dataValidation type="list" allowBlank="1" showInputMessage="1" showErrorMessage="1" sqref="I28:I102">
      <formula1>материалы</formula1>
    </dataValidation>
  </dataValidations>
  <hyperlinks>
    <hyperlink ref="W27" r:id="rId1" display="https://k-ps.ru/spravochnik/provoda-izolirovannyie/dlya-vozdushnyix-linij-peredach/sip-2/provod-sip-2-3%D1%8570_1%D1%8554_6.html"/>
  </hyperlinks>
  <pageMargins left="0.70866141732283472" right="0.70866141732283472" top="0.74803149606299213" bottom="0.74803149606299213" header="0.31496062992125984" footer="0.31496062992125984"/>
  <pageSetup paperSize="256" scale="23" orientation="landscape"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V62"/>
  <sheetViews>
    <sheetView topLeftCell="A13" workbookViewId="0">
      <selection activeCell="C21" sqref="C21"/>
    </sheetView>
  </sheetViews>
  <sheetFormatPr defaultRowHeight="12.75"/>
  <cols>
    <col min="1" max="1" width="96.140625" customWidth="1"/>
    <col min="3" max="3" width="13.42578125" customWidth="1"/>
  </cols>
  <sheetData>
    <row r="2" spans="1:6">
      <c r="A2" s="40" t="s">
        <v>38</v>
      </c>
      <c r="B2" s="52" t="s">
        <v>15</v>
      </c>
      <c r="C2" s="52">
        <f>+F2/E2</f>
        <v>66.81</v>
      </c>
      <c r="D2" s="52"/>
      <c r="E2" s="53">
        <v>80</v>
      </c>
      <c r="F2" s="54">
        <v>5344.8</v>
      </c>
    </row>
    <row r="3" spans="1:6">
      <c r="A3" s="40" t="s">
        <v>76</v>
      </c>
      <c r="B3" s="52" t="s">
        <v>15</v>
      </c>
      <c r="C3" s="52">
        <v>87.793000000000006</v>
      </c>
      <c r="D3" s="15"/>
      <c r="E3" s="15"/>
      <c r="F3" s="15"/>
    </row>
    <row r="4" spans="1:6">
      <c r="A4" s="40" t="s">
        <v>89</v>
      </c>
      <c r="B4" s="52" t="s">
        <v>73</v>
      </c>
      <c r="C4" s="52">
        <f>493.53*2</f>
        <v>987.06</v>
      </c>
      <c r="D4" s="52"/>
      <c r="E4" s="55"/>
      <c r="F4" s="56"/>
    </row>
    <row r="5" spans="1:6">
      <c r="A5" s="66" t="s">
        <v>69</v>
      </c>
      <c r="B5" s="67" t="s">
        <v>15</v>
      </c>
      <c r="C5" s="15">
        <v>0</v>
      </c>
      <c r="D5" s="15"/>
      <c r="E5" s="15"/>
      <c r="F5" s="15"/>
    </row>
    <row r="6" spans="1:6">
      <c r="A6" s="40" t="s">
        <v>36</v>
      </c>
      <c r="B6" s="52" t="s">
        <v>15</v>
      </c>
      <c r="C6" s="52">
        <f>+F6/E6</f>
        <v>284.64</v>
      </c>
      <c r="D6" s="52"/>
      <c r="E6" s="55">
        <v>4</v>
      </c>
      <c r="F6" s="56">
        <v>1138.56</v>
      </c>
    </row>
    <row r="7" spans="1:6">
      <c r="A7" s="40" t="s">
        <v>39</v>
      </c>
      <c r="B7" s="52" t="s">
        <v>15</v>
      </c>
      <c r="C7" s="52">
        <f>+F7/E7</f>
        <v>163.67000000000002</v>
      </c>
      <c r="D7" s="52"/>
      <c r="E7" s="55">
        <v>15</v>
      </c>
      <c r="F7" s="56">
        <v>2455.0500000000002</v>
      </c>
    </row>
    <row r="8" spans="1:6">
      <c r="A8" s="40" t="s">
        <v>40</v>
      </c>
      <c r="B8" s="52" t="s">
        <v>15</v>
      </c>
      <c r="C8" s="52">
        <f>+F8/E8</f>
        <v>169.36</v>
      </c>
      <c r="D8" s="52"/>
      <c r="E8" s="55">
        <v>2</v>
      </c>
      <c r="F8" s="57">
        <v>338.72</v>
      </c>
    </row>
    <row r="9" spans="1:6">
      <c r="A9" s="40" t="s">
        <v>41</v>
      </c>
      <c r="B9" s="52" t="s">
        <v>15</v>
      </c>
      <c r="C9" s="52">
        <f>+F9/E9</f>
        <v>136.09</v>
      </c>
      <c r="D9" s="52"/>
      <c r="E9" s="55">
        <v>15</v>
      </c>
      <c r="F9" s="56">
        <v>2041.35</v>
      </c>
    </row>
    <row r="10" spans="1:6">
      <c r="A10" s="40" t="s">
        <v>75</v>
      </c>
      <c r="B10" s="52" t="s">
        <v>15</v>
      </c>
      <c r="C10" s="52">
        <v>350</v>
      </c>
      <c r="D10" s="15"/>
      <c r="E10" s="15"/>
      <c r="F10" s="15"/>
    </row>
    <row r="11" spans="1:6">
      <c r="A11" s="40" t="s">
        <v>42</v>
      </c>
      <c r="B11" s="52" t="s">
        <v>15</v>
      </c>
      <c r="C11" s="52">
        <f>+F11/E11</f>
        <v>327.33999999999997</v>
      </c>
      <c r="D11" s="52"/>
      <c r="E11" s="55">
        <v>6</v>
      </c>
      <c r="F11" s="56">
        <v>1964.04</v>
      </c>
    </row>
    <row r="12" spans="1:6">
      <c r="A12" s="40" t="s">
        <v>37</v>
      </c>
      <c r="B12" s="52" t="s">
        <v>15</v>
      </c>
      <c r="C12" s="52">
        <f>+F12/E12</f>
        <v>63.29</v>
      </c>
      <c r="D12" s="52"/>
      <c r="E12" s="55">
        <v>6</v>
      </c>
      <c r="F12" s="57">
        <v>379.74</v>
      </c>
    </row>
    <row r="13" spans="1:6">
      <c r="A13" s="40" t="s">
        <v>67</v>
      </c>
      <c r="B13" s="52" t="s">
        <v>15</v>
      </c>
      <c r="C13" s="52">
        <v>115.25</v>
      </c>
      <c r="D13" s="15"/>
      <c r="E13" s="15"/>
      <c r="F13" s="15"/>
    </row>
    <row r="14" spans="1:6">
      <c r="A14" s="15" t="s">
        <v>71</v>
      </c>
      <c r="B14" s="15" t="s">
        <v>15</v>
      </c>
      <c r="C14" s="52">
        <v>45.944000000000003</v>
      </c>
      <c r="D14" s="15"/>
      <c r="E14" s="15"/>
      <c r="F14" s="15"/>
    </row>
    <row r="15" spans="1:6">
      <c r="A15" s="15" t="s">
        <v>91</v>
      </c>
      <c r="B15" s="15" t="s">
        <v>15</v>
      </c>
      <c r="C15" s="52">
        <v>98</v>
      </c>
      <c r="D15" s="15"/>
      <c r="E15" s="15"/>
      <c r="F15" s="15"/>
    </row>
    <row r="16" spans="1:6">
      <c r="A16" s="15" t="s">
        <v>94</v>
      </c>
      <c r="B16" s="15" t="s">
        <v>15</v>
      </c>
      <c r="C16" s="52">
        <v>140</v>
      </c>
      <c r="D16" s="15"/>
      <c r="E16" s="15"/>
      <c r="F16" s="15"/>
    </row>
    <row r="17" spans="1:256">
      <c r="A17" s="40" t="s">
        <v>43</v>
      </c>
      <c r="B17" s="52" t="s">
        <v>15</v>
      </c>
      <c r="C17" s="52">
        <f>+F17/E17</f>
        <v>176.48</v>
      </c>
      <c r="D17" s="52"/>
      <c r="E17" s="55">
        <v>80</v>
      </c>
      <c r="F17" s="56">
        <v>14118.4</v>
      </c>
    </row>
    <row r="18" spans="1:256">
      <c r="A18" s="40" t="s">
        <v>44</v>
      </c>
      <c r="B18" s="52" t="s">
        <v>15</v>
      </c>
      <c r="C18" s="52">
        <f>+F18/E18</f>
        <v>62.62</v>
      </c>
      <c r="D18" s="52"/>
      <c r="E18" s="55">
        <v>30</v>
      </c>
      <c r="F18" s="56">
        <v>1878.6</v>
      </c>
    </row>
    <row r="19" spans="1:256">
      <c r="A19" s="40" t="s">
        <v>45</v>
      </c>
      <c r="B19" s="52" t="s">
        <v>15</v>
      </c>
      <c r="C19" s="52">
        <f>+F19/E19</f>
        <v>74.13</v>
      </c>
      <c r="D19" s="52"/>
      <c r="E19" s="55">
        <v>20</v>
      </c>
      <c r="F19" s="56">
        <v>1482.6</v>
      </c>
    </row>
    <row r="20" spans="1:256">
      <c r="A20" s="40" t="s">
        <v>70</v>
      </c>
      <c r="B20" s="52" t="s">
        <v>15</v>
      </c>
      <c r="C20" s="52">
        <v>3.5169999999999999</v>
      </c>
      <c r="D20" s="15"/>
      <c r="E20" s="15">
        <v>10</v>
      </c>
      <c r="F20" s="15">
        <f>C20*E20</f>
        <v>35.17</v>
      </c>
    </row>
    <row r="21" spans="1:256">
      <c r="A21" s="40" t="s">
        <v>108</v>
      </c>
      <c r="B21" s="52" t="s">
        <v>112</v>
      </c>
      <c r="C21" s="52">
        <v>207.5</v>
      </c>
      <c r="D21" s="15"/>
      <c r="E21" s="15">
        <v>10</v>
      </c>
      <c r="F21" s="15">
        <f>C21*E21</f>
        <v>2075</v>
      </c>
    </row>
    <row r="22" spans="1:256">
      <c r="A22" s="40" t="s">
        <v>109</v>
      </c>
      <c r="B22" s="52" t="s">
        <v>112</v>
      </c>
      <c r="C22" s="52">
        <v>207.5</v>
      </c>
      <c r="D22" s="15"/>
      <c r="E22" s="15">
        <v>10</v>
      </c>
      <c r="F22" s="15">
        <f>C22*E22</f>
        <v>2075</v>
      </c>
    </row>
    <row r="23" spans="1:256">
      <c r="A23" s="40" t="s">
        <v>110</v>
      </c>
      <c r="B23" s="52" t="s">
        <v>112</v>
      </c>
      <c r="C23" s="52">
        <v>207.5</v>
      </c>
      <c r="D23" s="15"/>
      <c r="E23" s="15">
        <v>10</v>
      </c>
      <c r="F23" s="15">
        <f>C23*E23</f>
        <v>2075</v>
      </c>
    </row>
    <row r="24" spans="1:256">
      <c r="A24" s="40" t="s">
        <v>111</v>
      </c>
      <c r="B24" s="52" t="s">
        <v>112</v>
      </c>
      <c r="C24" s="52">
        <v>207.5</v>
      </c>
      <c r="D24" s="15"/>
      <c r="E24" s="15">
        <v>10</v>
      </c>
      <c r="F24" s="15">
        <f>C24*E24</f>
        <v>2075</v>
      </c>
    </row>
    <row r="25" spans="1:256">
      <c r="A25" s="40" t="s">
        <v>46</v>
      </c>
      <c r="B25" s="52" t="s">
        <v>27</v>
      </c>
      <c r="C25" s="52">
        <f>+F25/E25</f>
        <v>35580</v>
      </c>
      <c r="D25" s="52"/>
      <c r="E25" s="57">
        <v>0.25</v>
      </c>
      <c r="F25" s="56">
        <v>8895</v>
      </c>
    </row>
    <row r="26" spans="1:256">
      <c r="A26" s="40" t="s">
        <v>85</v>
      </c>
      <c r="B26" s="52" t="s">
        <v>15</v>
      </c>
      <c r="C26" s="52">
        <v>186.75</v>
      </c>
      <c r="D26" s="52"/>
      <c r="E26" s="55"/>
      <c r="F26" s="57"/>
    </row>
    <row r="27" spans="1:256">
      <c r="A27" s="40" t="s">
        <v>86</v>
      </c>
      <c r="B27" s="52" t="s">
        <v>15</v>
      </c>
      <c r="C27" s="52">
        <v>100</v>
      </c>
      <c r="D27" s="52"/>
      <c r="E27" s="55"/>
      <c r="F27" s="57"/>
    </row>
    <row r="28" spans="1:256">
      <c r="A28" s="40" t="s">
        <v>87</v>
      </c>
      <c r="B28" s="75" t="s">
        <v>15</v>
      </c>
      <c r="C28" s="75">
        <v>20</v>
      </c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75"/>
      <c r="CN28" s="75"/>
      <c r="CO28" s="75"/>
      <c r="CP28" s="75"/>
      <c r="CQ28" s="75"/>
      <c r="CR28" s="75"/>
      <c r="CS28" s="75"/>
      <c r="CT28" s="75"/>
      <c r="CU28" s="75"/>
      <c r="CV28" s="75"/>
      <c r="CW28" s="75"/>
      <c r="CX28" s="75"/>
      <c r="CY28" s="75"/>
      <c r="CZ28" s="75"/>
      <c r="DA28" s="75"/>
      <c r="DB28" s="75"/>
      <c r="DC28" s="75"/>
      <c r="DD28" s="75"/>
      <c r="DE28" s="75"/>
      <c r="DF28" s="75"/>
      <c r="DG28" s="75"/>
      <c r="DH28" s="75"/>
      <c r="DI28" s="75"/>
      <c r="DJ28" s="75"/>
      <c r="DK28" s="75"/>
      <c r="DL28" s="75"/>
      <c r="DM28" s="75"/>
      <c r="DN28" s="75"/>
      <c r="DO28" s="75"/>
      <c r="DP28" s="75"/>
      <c r="DQ28" s="75"/>
      <c r="DR28" s="75"/>
      <c r="DS28" s="75"/>
      <c r="DT28" s="75"/>
      <c r="DU28" s="75"/>
      <c r="DV28" s="75"/>
      <c r="DW28" s="75"/>
      <c r="DX28" s="75"/>
      <c r="DY28" s="75"/>
      <c r="DZ28" s="75"/>
      <c r="EA28" s="75"/>
      <c r="EB28" s="75"/>
      <c r="EC28" s="75"/>
      <c r="ED28" s="75"/>
      <c r="EE28" s="75"/>
      <c r="EF28" s="75"/>
      <c r="EG28" s="75"/>
      <c r="EH28" s="75"/>
      <c r="EI28" s="75"/>
      <c r="EJ28" s="75"/>
      <c r="EK28" s="75"/>
      <c r="EL28" s="75"/>
      <c r="EM28" s="75"/>
      <c r="EN28" s="75"/>
      <c r="EO28" s="75"/>
      <c r="EP28" s="75"/>
      <c r="EQ28" s="75"/>
      <c r="ER28" s="75"/>
      <c r="ES28" s="75"/>
      <c r="ET28" s="75"/>
      <c r="EU28" s="75"/>
      <c r="EV28" s="75"/>
      <c r="EW28" s="75"/>
      <c r="EX28" s="75"/>
      <c r="EY28" s="75"/>
      <c r="EZ28" s="75"/>
      <c r="FA28" s="75"/>
      <c r="FB28" s="75"/>
      <c r="FC28" s="75"/>
      <c r="FD28" s="75"/>
      <c r="FE28" s="75"/>
      <c r="FF28" s="75"/>
      <c r="FG28" s="75"/>
      <c r="FH28" s="75"/>
      <c r="FI28" s="75"/>
      <c r="FJ28" s="75"/>
      <c r="FK28" s="75"/>
      <c r="FL28" s="75"/>
      <c r="FM28" s="75"/>
      <c r="FN28" s="75"/>
      <c r="FO28" s="75"/>
      <c r="FP28" s="75"/>
      <c r="FQ28" s="75"/>
      <c r="FR28" s="75"/>
      <c r="FS28" s="75"/>
      <c r="FT28" s="75"/>
      <c r="FU28" s="75"/>
      <c r="FV28" s="75"/>
      <c r="FW28" s="75"/>
      <c r="FX28" s="75"/>
      <c r="FY28" s="75"/>
      <c r="FZ28" s="75"/>
      <c r="GA28" s="75"/>
      <c r="GB28" s="75"/>
      <c r="GC28" s="75"/>
      <c r="GD28" s="75"/>
      <c r="GE28" s="75"/>
      <c r="GF28" s="75"/>
      <c r="GG28" s="75"/>
      <c r="GH28" s="75"/>
      <c r="GI28" s="75"/>
      <c r="GJ28" s="75"/>
      <c r="GK28" s="75"/>
      <c r="GL28" s="75"/>
      <c r="GM28" s="75"/>
      <c r="GN28" s="75"/>
      <c r="GO28" s="75"/>
      <c r="GP28" s="75"/>
      <c r="GQ28" s="75"/>
      <c r="GR28" s="75"/>
      <c r="GS28" s="75"/>
      <c r="GT28" s="75"/>
      <c r="GU28" s="75"/>
      <c r="GV28" s="75"/>
      <c r="GW28" s="75"/>
      <c r="GX28" s="75"/>
      <c r="GY28" s="75"/>
      <c r="GZ28" s="75"/>
      <c r="HA28" s="75"/>
      <c r="HB28" s="75"/>
      <c r="HC28" s="75"/>
      <c r="HD28" s="75"/>
      <c r="HE28" s="75"/>
      <c r="HF28" s="75"/>
      <c r="HG28" s="75"/>
      <c r="HH28" s="75"/>
      <c r="HI28" s="75"/>
      <c r="HJ28" s="75"/>
      <c r="HK28" s="75"/>
      <c r="HL28" s="75"/>
      <c r="HM28" s="75"/>
      <c r="HN28" s="75"/>
      <c r="HO28" s="75"/>
      <c r="HP28" s="75"/>
      <c r="HQ28" s="75"/>
      <c r="HR28" s="75"/>
      <c r="HS28" s="75"/>
      <c r="HT28" s="75"/>
      <c r="HU28" s="75"/>
      <c r="HV28" s="75"/>
      <c r="HW28" s="75"/>
      <c r="HX28" s="75"/>
      <c r="HY28" s="75"/>
      <c r="HZ28" s="75"/>
      <c r="IA28" s="75"/>
      <c r="IB28" s="75"/>
      <c r="IC28" s="75"/>
      <c r="ID28" s="75"/>
      <c r="IE28" s="75"/>
      <c r="IF28" s="75"/>
      <c r="IG28" s="75"/>
      <c r="IH28" s="75"/>
      <c r="II28" s="75"/>
      <c r="IJ28" s="75"/>
      <c r="IK28" s="75"/>
      <c r="IL28" s="75"/>
      <c r="IM28" s="75"/>
      <c r="IN28" s="75"/>
      <c r="IO28" s="75"/>
      <c r="IP28" s="75"/>
      <c r="IQ28" s="75"/>
      <c r="IR28" s="75"/>
      <c r="IS28" s="75"/>
      <c r="IT28" s="75"/>
      <c r="IU28" s="75"/>
      <c r="IV28" s="75"/>
    </row>
    <row r="29" spans="1:256">
      <c r="A29" s="40" t="s">
        <v>47</v>
      </c>
      <c r="B29" s="52" t="s">
        <v>15</v>
      </c>
      <c r="C29" s="52">
        <v>1300</v>
      </c>
      <c r="D29" s="52"/>
      <c r="E29" s="55">
        <v>1</v>
      </c>
      <c r="F29" s="57">
        <v>914.44</v>
      </c>
    </row>
    <row r="30" spans="1:256">
      <c r="A30" s="40" t="s">
        <v>48</v>
      </c>
      <c r="B30" s="52" t="s">
        <v>27</v>
      </c>
      <c r="C30" s="52">
        <v>53000</v>
      </c>
      <c r="D30" s="52"/>
      <c r="E30" s="58">
        <v>0.1</v>
      </c>
      <c r="F30" s="56">
        <v>4209.3</v>
      </c>
    </row>
    <row r="31" spans="1:256">
      <c r="A31" s="40" t="s">
        <v>49</v>
      </c>
      <c r="B31" s="52" t="s">
        <v>27</v>
      </c>
      <c r="C31" s="52">
        <v>53000</v>
      </c>
      <c r="D31" s="52"/>
      <c r="E31" s="59">
        <v>2.1000000000000001E-2</v>
      </c>
      <c r="F31" s="57">
        <v>899.15</v>
      </c>
    </row>
    <row r="32" spans="1:256">
      <c r="A32" s="40" t="s">
        <v>50</v>
      </c>
      <c r="B32" s="52" t="s">
        <v>27</v>
      </c>
      <c r="C32" s="52">
        <v>53000</v>
      </c>
      <c r="D32" s="52"/>
      <c r="E32" s="57">
        <v>0.03</v>
      </c>
      <c r="F32" s="56">
        <v>1248.32</v>
      </c>
    </row>
    <row r="33" spans="1:256">
      <c r="A33" s="40" t="s">
        <v>51</v>
      </c>
      <c r="B33" s="52" t="s">
        <v>15</v>
      </c>
      <c r="C33" s="52">
        <f>+F33/E33</f>
        <v>75.03</v>
      </c>
      <c r="D33" s="52"/>
      <c r="E33" s="55">
        <v>40</v>
      </c>
      <c r="F33" s="56">
        <v>3001.2</v>
      </c>
    </row>
    <row r="34" spans="1:256">
      <c r="A34" s="40" t="s">
        <v>74</v>
      </c>
      <c r="B34" s="52" t="s">
        <v>90</v>
      </c>
      <c r="C34" s="52">
        <v>1500</v>
      </c>
      <c r="D34" s="15"/>
      <c r="E34" s="15"/>
      <c r="F34" s="15"/>
    </row>
    <row r="35" spans="1:256">
      <c r="A35" s="40" t="s">
        <v>92</v>
      </c>
      <c r="B35" s="75" t="s">
        <v>16</v>
      </c>
      <c r="C35" s="75">
        <v>80</v>
      </c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75"/>
      <c r="CN35" s="75"/>
      <c r="CO35" s="75"/>
      <c r="CP35" s="75"/>
      <c r="CQ35" s="75"/>
      <c r="CR35" s="75"/>
      <c r="CS35" s="75"/>
      <c r="CT35" s="75"/>
      <c r="CU35" s="75"/>
      <c r="CV35" s="75"/>
      <c r="CW35" s="75"/>
      <c r="CX35" s="75"/>
      <c r="CY35" s="75"/>
      <c r="CZ35" s="75"/>
      <c r="DA35" s="75"/>
      <c r="DB35" s="75"/>
      <c r="DC35" s="75"/>
      <c r="DD35" s="75"/>
      <c r="DE35" s="75"/>
      <c r="DF35" s="75"/>
      <c r="DG35" s="75"/>
      <c r="DH35" s="75"/>
      <c r="DI35" s="75"/>
      <c r="DJ35" s="75"/>
      <c r="DK35" s="75"/>
      <c r="DL35" s="75"/>
      <c r="DM35" s="75"/>
      <c r="DN35" s="75"/>
      <c r="DO35" s="75"/>
      <c r="DP35" s="75"/>
      <c r="DQ35" s="75"/>
      <c r="DR35" s="75"/>
      <c r="DS35" s="75"/>
      <c r="DT35" s="75"/>
      <c r="DU35" s="75"/>
      <c r="DV35" s="75"/>
      <c r="DW35" s="75"/>
      <c r="DX35" s="75"/>
      <c r="DY35" s="75"/>
      <c r="DZ35" s="75"/>
      <c r="EA35" s="75"/>
      <c r="EB35" s="75"/>
      <c r="EC35" s="75"/>
      <c r="ED35" s="75"/>
      <c r="EE35" s="75"/>
      <c r="EF35" s="75"/>
      <c r="EG35" s="75"/>
      <c r="EH35" s="75"/>
      <c r="EI35" s="75"/>
      <c r="EJ35" s="75"/>
      <c r="EK35" s="75"/>
      <c r="EL35" s="75"/>
      <c r="EM35" s="75"/>
      <c r="EN35" s="75"/>
      <c r="EO35" s="75"/>
      <c r="EP35" s="75"/>
      <c r="EQ35" s="75"/>
      <c r="ER35" s="75"/>
      <c r="ES35" s="75"/>
      <c r="ET35" s="75"/>
      <c r="EU35" s="75"/>
      <c r="EV35" s="75"/>
      <c r="EW35" s="75"/>
      <c r="EX35" s="75"/>
      <c r="EY35" s="75"/>
      <c r="EZ35" s="75"/>
      <c r="FA35" s="75"/>
      <c r="FB35" s="75"/>
      <c r="FC35" s="75"/>
      <c r="FD35" s="75"/>
      <c r="FE35" s="75"/>
      <c r="FF35" s="75"/>
      <c r="FG35" s="75"/>
      <c r="FH35" s="75"/>
      <c r="FI35" s="75"/>
      <c r="FJ35" s="75"/>
      <c r="FK35" s="75"/>
      <c r="FL35" s="75"/>
      <c r="FM35" s="75"/>
      <c r="FN35" s="75"/>
      <c r="FO35" s="75"/>
      <c r="FP35" s="75"/>
      <c r="FQ35" s="75"/>
      <c r="FR35" s="75"/>
      <c r="FS35" s="75"/>
      <c r="FT35" s="75"/>
      <c r="FU35" s="75"/>
      <c r="FV35" s="75"/>
      <c r="FW35" s="75"/>
      <c r="FX35" s="75"/>
      <c r="FY35" s="75"/>
      <c r="FZ35" s="75"/>
      <c r="GA35" s="75"/>
      <c r="GB35" s="75"/>
      <c r="GC35" s="75"/>
      <c r="GD35" s="75"/>
      <c r="GE35" s="75"/>
      <c r="GF35" s="75"/>
      <c r="GG35" s="75"/>
      <c r="GH35" s="75"/>
      <c r="GI35" s="75"/>
      <c r="GJ35" s="75"/>
      <c r="GK35" s="75"/>
      <c r="GL35" s="75"/>
      <c r="GM35" s="75"/>
      <c r="GN35" s="75"/>
      <c r="GO35" s="75"/>
      <c r="GP35" s="75"/>
      <c r="GQ35" s="75"/>
      <c r="GR35" s="75"/>
      <c r="GS35" s="75"/>
      <c r="GT35" s="75"/>
      <c r="GU35" s="75"/>
      <c r="GV35" s="75"/>
      <c r="GW35" s="75"/>
      <c r="GX35" s="75"/>
      <c r="GY35" s="75"/>
      <c r="GZ35" s="75"/>
      <c r="HA35" s="75"/>
      <c r="HB35" s="75"/>
      <c r="HC35" s="75"/>
      <c r="HD35" s="75"/>
      <c r="HE35" s="75"/>
      <c r="HF35" s="75"/>
      <c r="HG35" s="75"/>
      <c r="HH35" s="75"/>
      <c r="HI35" s="75"/>
      <c r="HJ35" s="75"/>
      <c r="HK35" s="75"/>
      <c r="HL35" s="75"/>
      <c r="HM35" s="75"/>
      <c r="HN35" s="75"/>
      <c r="HO35" s="75"/>
      <c r="HP35" s="75"/>
      <c r="HQ35" s="75"/>
      <c r="HR35" s="75"/>
      <c r="HS35" s="75"/>
      <c r="HT35" s="75"/>
      <c r="HU35" s="75"/>
      <c r="HV35" s="75"/>
      <c r="HW35" s="75"/>
      <c r="HX35" s="75"/>
      <c r="HY35" s="75"/>
      <c r="HZ35" s="75"/>
      <c r="IA35" s="75"/>
      <c r="IB35" s="75"/>
      <c r="IC35" s="75"/>
      <c r="ID35" s="75"/>
      <c r="IE35" s="75"/>
      <c r="IF35" s="75"/>
      <c r="IG35" s="75"/>
      <c r="IH35" s="75"/>
      <c r="II35" s="75"/>
      <c r="IJ35" s="75"/>
      <c r="IK35" s="75"/>
      <c r="IL35" s="75"/>
      <c r="IM35" s="75"/>
      <c r="IN35" s="75"/>
      <c r="IO35" s="75"/>
      <c r="IP35" s="75"/>
      <c r="IQ35" s="75"/>
      <c r="IR35" s="75"/>
      <c r="IS35" s="75"/>
      <c r="IT35" s="75"/>
      <c r="IU35" s="75"/>
      <c r="IV35" s="75"/>
    </row>
    <row r="36" spans="1:256" ht="25.5">
      <c r="A36" s="40" t="s">
        <v>88</v>
      </c>
      <c r="B36" s="75" t="s">
        <v>15</v>
      </c>
      <c r="C36" s="75">
        <v>791.3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75"/>
      <c r="CN36" s="75"/>
      <c r="CO36" s="75"/>
      <c r="CP36" s="75"/>
      <c r="CQ36" s="75"/>
      <c r="CR36" s="75"/>
      <c r="CS36" s="75"/>
      <c r="CT36" s="75"/>
      <c r="CU36" s="75"/>
      <c r="CV36" s="75"/>
      <c r="CW36" s="75"/>
      <c r="CX36" s="75"/>
      <c r="CY36" s="75"/>
      <c r="CZ36" s="75"/>
      <c r="DA36" s="75"/>
      <c r="DB36" s="75"/>
      <c r="DC36" s="75"/>
      <c r="DD36" s="75"/>
      <c r="DE36" s="75"/>
      <c r="DF36" s="75"/>
      <c r="DG36" s="75"/>
      <c r="DH36" s="75"/>
      <c r="DI36" s="75"/>
      <c r="DJ36" s="75"/>
      <c r="DK36" s="75"/>
      <c r="DL36" s="75"/>
      <c r="DM36" s="75"/>
      <c r="DN36" s="75"/>
      <c r="DO36" s="75"/>
      <c r="DP36" s="75"/>
      <c r="DQ36" s="75"/>
      <c r="DR36" s="75"/>
      <c r="DS36" s="75"/>
      <c r="DT36" s="75"/>
      <c r="DU36" s="75"/>
      <c r="DV36" s="75"/>
      <c r="DW36" s="75"/>
      <c r="DX36" s="75"/>
      <c r="DY36" s="75"/>
      <c r="DZ36" s="75"/>
      <c r="EA36" s="75"/>
      <c r="EB36" s="75"/>
      <c r="EC36" s="75"/>
      <c r="ED36" s="75"/>
      <c r="EE36" s="75"/>
      <c r="EF36" s="75"/>
      <c r="EG36" s="75"/>
      <c r="EH36" s="75"/>
      <c r="EI36" s="75"/>
      <c r="EJ36" s="75"/>
      <c r="EK36" s="75"/>
      <c r="EL36" s="75"/>
      <c r="EM36" s="75"/>
      <c r="EN36" s="75"/>
      <c r="EO36" s="75"/>
      <c r="EP36" s="75"/>
      <c r="EQ36" s="75"/>
      <c r="ER36" s="75"/>
      <c r="ES36" s="75"/>
      <c r="ET36" s="75"/>
      <c r="EU36" s="75"/>
      <c r="EV36" s="75"/>
      <c r="EW36" s="75"/>
      <c r="EX36" s="75"/>
      <c r="EY36" s="75"/>
      <c r="EZ36" s="75"/>
      <c r="FA36" s="75"/>
      <c r="FB36" s="75"/>
      <c r="FC36" s="75"/>
      <c r="FD36" s="75"/>
      <c r="FE36" s="75"/>
      <c r="FF36" s="75"/>
      <c r="FG36" s="75"/>
      <c r="FH36" s="75"/>
      <c r="FI36" s="75"/>
      <c r="FJ36" s="75"/>
      <c r="FK36" s="75"/>
      <c r="FL36" s="75"/>
      <c r="FM36" s="75"/>
      <c r="FN36" s="75"/>
      <c r="FO36" s="75"/>
      <c r="FP36" s="75"/>
      <c r="FQ36" s="75"/>
      <c r="FR36" s="75"/>
      <c r="FS36" s="75"/>
      <c r="FT36" s="75"/>
      <c r="FU36" s="75"/>
      <c r="FV36" s="75"/>
      <c r="FW36" s="75"/>
      <c r="FX36" s="75"/>
      <c r="FY36" s="75"/>
      <c r="FZ36" s="75"/>
      <c r="GA36" s="75"/>
      <c r="GB36" s="75"/>
      <c r="GC36" s="75"/>
      <c r="GD36" s="75"/>
      <c r="GE36" s="75"/>
      <c r="GF36" s="75"/>
      <c r="GG36" s="75"/>
      <c r="GH36" s="75"/>
      <c r="GI36" s="75"/>
      <c r="GJ36" s="75"/>
      <c r="GK36" s="75"/>
      <c r="GL36" s="75"/>
      <c r="GM36" s="75"/>
      <c r="GN36" s="75"/>
      <c r="GO36" s="75"/>
      <c r="GP36" s="75"/>
      <c r="GQ36" s="75"/>
      <c r="GR36" s="75"/>
      <c r="GS36" s="75"/>
      <c r="GT36" s="75"/>
      <c r="GU36" s="75"/>
      <c r="GV36" s="75"/>
      <c r="GW36" s="75"/>
      <c r="GX36" s="75"/>
      <c r="GY36" s="75"/>
      <c r="GZ36" s="75"/>
      <c r="HA36" s="75"/>
      <c r="HB36" s="75"/>
      <c r="HC36" s="75"/>
      <c r="HD36" s="75"/>
      <c r="HE36" s="75"/>
      <c r="HF36" s="75"/>
      <c r="HG36" s="75"/>
      <c r="HH36" s="75"/>
      <c r="HI36" s="75"/>
      <c r="HJ36" s="75"/>
      <c r="HK36" s="75"/>
      <c r="HL36" s="75"/>
      <c r="HM36" s="75"/>
      <c r="HN36" s="75"/>
      <c r="HO36" s="75"/>
      <c r="HP36" s="75"/>
      <c r="HQ36" s="75"/>
      <c r="HR36" s="75"/>
      <c r="HS36" s="75"/>
      <c r="HT36" s="75"/>
      <c r="HU36" s="75"/>
      <c r="HV36" s="75"/>
      <c r="HW36" s="75"/>
      <c r="HX36" s="75"/>
      <c r="HY36" s="75"/>
      <c r="HZ36" s="75"/>
      <c r="IA36" s="75"/>
      <c r="IB36" s="75"/>
      <c r="IC36" s="75"/>
      <c r="ID36" s="75"/>
      <c r="IE36" s="75"/>
      <c r="IF36" s="75"/>
      <c r="IG36" s="75"/>
      <c r="IH36" s="75"/>
      <c r="II36" s="75"/>
      <c r="IJ36" s="75"/>
      <c r="IK36" s="75"/>
      <c r="IL36" s="75"/>
      <c r="IM36" s="75"/>
      <c r="IN36" s="75"/>
      <c r="IO36" s="75"/>
      <c r="IP36" s="75"/>
      <c r="IQ36" s="75"/>
      <c r="IR36" s="75"/>
      <c r="IS36" s="75"/>
      <c r="IT36" s="75"/>
      <c r="IU36" s="75"/>
      <c r="IV36" s="75"/>
    </row>
    <row r="37" spans="1:256">
      <c r="A37" s="40" t="s">
        <v>52</v>
      </c>
      <c r="B37" s="52" t="s">
        <v>15</v>
      </c>
      <c r="C37" s="52"/>
      <c r="D37" s="52"/>
      <c r="E37" s="55">
        <v>3</v>
      </c>
      <c r="F37" s="56">
        <v>47392.56</v>
      </c>
    </row>
    <row r="38" spans="1:256">
      <c r="A38" s="40" t="s">
        <v>84</v>
      </c>
      <c r="B38" s="52" t="s">
        <v>15</v>
      </c>
      <c r="C38" s="52">
        <v>7800</v>
      </c>
      <c r="D38" s="52"/>
      <c r="E38" s="55"/>
      <c r="F38" s="56"/>
    </row>
    <row r="39" spans="1:256">
      <c r="A39" s="40" t="s">
        <v>53</v>
      </c>
      <c r="B39" s="52" t="s">
        <v>27</v>
      </c>
      <c r="C39" s="52">
        <f>+F39/E39</f>
        <v>46866</v>
      </c>
      <c r="D39" s="52"/>
      <c r="E39" s="57">
        <v>0.01</v>
      </c>
      <c r="F39" s="57">
        <v>468.66</v>
      </c>
    </row>
    <row r="40" spans="1:256">
      <c r="A40" s="40" t="s">
        <v>54</v>
      </c>
      <c r="B40" s="52" t="s">
        <v>15</v>
      </c>
      <c r="C40" s="52">
        <f>+F40/E40</f>
        <v>3102.58</v>
      </c>
      <c r="D40" s="52"/>
      <c r="E40" s="55">
        <v>4</v>
      </c>
      <c r="F40" s="56">
        <v>12410.32</v>
      </c>
    </row>
    <row r="41" spans="1:256">
      <c r="A41" s="40" t="s">
        <v>55</v>
      </c>
      <c r="B41" s="52" t="s">
        <v>14</v>
      </c>
      <c r="C41" s="52">
        <f>+F41/E41</f>
        <v>203449.9</v>
      </c>
      <c r="D41" s="52"/>
      <c r="E41" s="58">
        <v>0.1</v>
      </c>
      <c r="F41" s="56">
        <v>20344.990000000002</v>
      </c>
    </row>
    <row r="42" spans="1:256">
      <c r="A42" s="40" t="s">
        <v>56</v>
      </c>
      <c r="B42" s="52" t="s">
        <v>14</v>
      </c>
      <c r="C42" s="52">
        <f>+F42/E42</f>
        <v>34681.949999999997</v>
      </c>
      <c r="D42" s="52"/>
      <c r="E42" s="58">
        <v>0.2</v>
      </c>
      <c r="F42" s="56">
        <v>6936.39</v>
      </c>
    </row>
    <row r="43" spans="1:256">
      <c r="A43" s="40" t="s">
        <v>114</v>
      </c>
      <c r="B43" s="52" t="s">
        <v>14</v>
      </c>
      <c r="C43" s="52">
        <v>0</v>
      </c>
      <c r="D43" s="52"/>
      <c r="E43" s="58"/>
      <c r="F43" s="56"/>
    </row>
    <row r="44" spans="1:256">
      <c r="A44" s="51" t="s">
        <v>57</v>
      </c>
      <c r="B44" s="52" t="s">
        <v>14</v>
      </c>
      <c r="C44" s="52">
        <v>68745</v>
      </c>
      <c r="D44" s="52"/>
      <c r="E44" s="58"/>
      <c r="F44" s="56"/>
    </row>
    <row r="45" spans="1:256">
      <c r="A45" s="51" t="s">
        <v>113</v>
      </c>
      <c r="B45" s="52" t="s">
        <v>14</v>
      </c>
      <c r="C45" s="52">
        <v>0</v>
      </c>
      <c r="D45" s="52"/>
      <c r="E45" s="58"/>
      <c r="F45" s="56"/>
    </row>
    <row r="46" spans="1:256">
      <c r="A46" s="40" t="s">
        <v>68</v>
      </c>
      <c r="B46" s="52" t="s">
        <v>14</v>
      </c>
      <c r="C46" s="52">
        <v>150000</v>
      </c>
      <c r="D46" s="15"/>
      <c r="E46" s="15"/>
      <c r="F46" s="15"/>
    </row>
    <row r="47" spans="1:256">
      <c r="A47" s="40" t="s">
        <v>115</v>
      </c>
      <c r="B47" s="52" t="s">
        <v>14</v>
      </c>
      <c r="C47" s="52">
        <v>0</v>
      </c>
      <c r="D47" s="15"/>
      <c r="E47" s="96"/>
      <c r="F47" s="97"/>
    </row>
    <row r="48" spans="1:256">
      <c r="A48" s="40" t="s">
        <v>58</v>
      </c>
      <c r="B48" s="52" t="s">
        <v>14</v>
      </c>
      <c r="C48" s="52">
        <v>190000</v>
      </c>
      <c r="D48" s="52"/>
      <c r="E48" s="70">
        <v>0.3</v>
      </c>
      <c r="F48" s="54">
        <v>43510.21</v>
      </c>
    </row>
    <row r="49" spans="1:6">
      <c r="A49" s="40" t="s">
        <v>59</v>
      </c>
      <c r="B49" s="52" t="s">
        <v>27</v>
      </c>
      <c r="C49" s="52">
        <f>+F49/E49</f>
        <v>282076.83333333337</v>
      </c>
      <c r="D49" s="52"/>
      <c r="E49" s="58">
        <v>0.3</v>
      </c>
      <c r="F49" s="56">
        <v>84623.05</v>
      </c>
    </row>
    <row r="50" spans="1:6" ht="25.5">
      <c r="A50" s="40" t="s">
        <v>72</v>
      </c>
      <c r="B50" s="52" t="s">
        <v>93</v>
      </c>
      <c r="C50" s="52">
        <v>600</v>
      </c>
      <c r="D50" s="15"/>
      <c r="E50" s="15"/>
      <c r="F50" s="15"/>
    </row>
    <row r="51" spans="1:6">
      <c r="A51" s="40" t="s">
        <v>60</v>
      </c>
      <c r="B51" s="52" t="s">
        <v>16</v>
      </c>
      <c r="C51" s="52">
        <f t="shared" ref="C51:C57" si="0">+F51/E51</f>
        <v>60.2</v>
      </c>
      <c r="D51" s="52"/>
      <c r="E51" s="55">
        <v>5</v>
      </c>
      <c r="F51" s="57">
        <v>301</v>
      </c>
    </row>
    <row r="52" spans="1:6">
      <c r="A52" s="65" t="s">
        <v>61</v>
      </c>
      <c r="B52" s="60" t="s">
        <v>16</v>
      </c>
      <c r="C52" s="60">
        <f t="shared" si="0"/>
        <v>88.38</v>
      </c>
      <c r="D52" s="60"/>
      <c r="E52" s="61">
        <v>5</v>
      </c>
      <c r="F52" s="63">
        <v>441.9</v>
      </c>
    </row>
    <row r="53" spans="1:6">
      <c r="A53" s="68" t="s">
        <v>62</v>
      </c>
      <c r="B53" s="52" t="s">
        <v>16</v>
      </c>
      <c r="C53" s="60">
        <f t="shared" si="0"/>
        <v>96.490000000000009</v>
      </c>
      <c r="D53" s="60"/>
      <c r="E53" s="61">
        <v>3</v>
      </c>
      <c r="F53" s="63">
        <v>289.47000000000003</v>
      </c>
    </row>
    <row r="54" spans="1:6">
      <c r="A54" s="68" t="s">
        <v>63</v>
      </c>
      <c r="B54" s="52" t="s">
        <v>16</v>
      </c>
      <c r="C54" s="60">
        <f t="shared" si="0"/>
        <v>96.490000000000009</v>
      </c>
      <c r="D54" s="60"/>
      <c r="E54" s="61">
        <v>3</v>
      </c>
      <c r="F54" s="63">
        <v>289.47000000000003</v>
      </c>
    </row>
    <row r="55" spans="1:6">
      <c r="A55" s="68" t="s">
        <v>64</v>
      </c>
      <c r="B55" s="52" t="s">
        <v>16</v>
      </c>
      <c r="C55" s="60">
        <f t="shared" si="0"/>
        <v>96.490000000000009</v>
      </c>
      <c r="D55" s="60"/>
      <c r="E55" s="61">
        <v>3</v>
      </c>
      <c r="F55" s="63">
        <v>289.47000000000003</v>
      </c>
    </row>
    <row r="56" spans="1:6">
      <c r="A56" s="68" t="s">
        <v>65</v>
      </c>
      <c r="B56" s="52" t="s">
        <v>16</v>
      </c>
      <c r="C56" s="60">
        <f t="shared" si="0"/>
        <v>96.49</v>
      </c>
      <c r="D56" s="60"/>
      <c r="E56" s="61">
        <v>16</v>
      </c>
      <c r="F56" s="62">
        <v>1543.84</v>
      </c>
    </row>
    <row r="57" spans="1:6">
      <c r="A57" s="68" t="s">
        <v>66</v>
      </c>
      <c r="B57" s="52" t="s">
        <v>16</v>
      </c>
      <c r="C57" s="60">
        <f t="shared" si="0"/>
        <v>86.470000000000013</v>
      </c>
      <c r="D57" s="60"/>
      <c r="E57" s="61">
        <v>3</v>
      </c>
      <c r="F57" s="63">
        <v>259.41000000000003</v>
      </c>
    </row>
    <row r="58" spans="1:6">
      <c r="C58" s="60"/>
    </row>
    <row r="59" spans="1:6">
      <c r="C59" s="60"/>
    </row>
    <row r="60" spans="1:6">
      <c r="C60" s="60"/>
    </row>
    <row r="61" spans="1:6">
      <c r="C61" s="60"/>
    </row>
    <row r="62" spans="1:6">
      <c r="C62" s="6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6</vt:i4>
      </vt:variant>
    </vt:vector>
  </HeadingPairs>
  <TitlesOfParts>
    <vt:vector size="17" baseType="lpstr">
      <vt:lpstr>Лист1</vt:lpstr>
      <vt:lpstr>Лист2</vt:lpstr>
      <vt:lpstr>Ф-1 561</vt:lpstr>
      <vt:lpstr>Ф-2 561</vt:lpstr>
      <vt:lpstr>Ф-1 583 </vt:lpstr>
      <vt:lpstr>Ф-2 596</vt:lpstr>
      <vt:lpstr>Ф-2 610</vt:lpstr>
      <vt:lpstr>Ф-2 612</vt:lpstr>
      <vt:lpstr>Матер</vt:lpstr>
      <vt:lpstr>Заявка</vt:lpstr>
      <vt:lpstr>Бюджет</vt:lpstr>
      <vt:lpstr>материалы</vt:lpstr>
      <vt:lpstr>Заявка!Область_печати</vt:lpstr>
      <vt:lpstr>'Ф-1 561'!Область_печати</vt:lpstr>
      <vt:lpstr>'Ф-1 583 '!Область_печати</vt:lpstr>
      <vt:lpstr>'Ф-2 561'!Область_печати</vt:lpstr>
      <vt:lpstr>'Ф-2 596'!Область_печати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erm</dc:creator>
  <cp:lastModifiedBy>Наделяева Юлия</cp:lastModifiedBy>
  <cp:lastPrinted>2022-01-27T07:57:30Z</cp:lastPrinted>
  <dcterms:created xsi:type="dcterms:W3CDTF">2005-01-20T05:36:30Z</dcterms:created>
  <dcterms:modified xsi:type="dcterms:W3CDTF">2023-08-08T00:45:23Z</dcterms:modified>
</cp:coreProperties>
</file>